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ez-moi" sheetId="1" state="visible" r:id="rId3"/>
    <sheet name="Synthèse" sheetId="2" state="visible" r:id="rId4"/>
    <sheet name="Hypothèses" sheetId="3" state="visible" r:id="rId5"/>
    <sheet name="Offres" sheetId="4" state="visible" r:id="rId6"/>
    <sheet name="Maintenance" sheetId="5" state="visible" r:id="rId7"/>
  </sheets>
  <definedNames>
    <definedName function="false" hidden="true" localSheetId="3" name="_xlnm._FilterDatabase" vbProcedure="false">Offres!$A$1:$Z$155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<sst xmlns="http://schemas.openxmlformats.org/spreadsheetml/2006/main" count="1756" uniqueCount="457">
  <si>
    <t xml:space="preserve">Étude comparative des coûts — ValoWeb face aux autres solutions</t>
  </si>
  <si>
    <t xml:space="preserve">Relevé du 19/10/2026. Tous les montants en euros hors taxes (HT).</t>
  </si>
  <si>
    <t xml:space="preserve">Méthode</t>
  </si>
  <si>
    <t xml:space="preserve">• Coût sur N ans = création (une fois) + abonnement mensuel × 12 × N + frais annuels (hébergement, domaine, base de données).</t>
  </si>
  <si>
    <t xml:space="preserve">• Pour chaque solution, l'hébergement et le nom de domaine sont comptés : inclus dans l'abonnement, indiqués par le prestataire, ou valeur par défaut (onglet Hypothèses).</t>
  </si>
  <si>
    <t xml:space="preserve">• ValoWeb : hébergement Hostinger + domaine + Supabase Pro pour les forfaits Pro et Boutique (onglet Hypothèses).</t>
  </si>
  <si>
    <t xml:space="preserve">• Fourchettes : quand un prestataire donne « de X à Y », le coût minimum et le coût maximum sont calculés.</t>
  </si>
  <si>
    <t xml:space="preserve">• Prix en USD convertis au taux de référence Banque de France ; prix TTC divisés par 1,2. Quand la page ne précise pas HT/TTC, le prix est repris tel quel (colonne Source).</t>
  </si>
  <si>
    <t xml:space="preserve">• Classement « Créateur à petit prix » / « Agence » : selon le prix publié (moins de 1 500 € HT pour Essentiel et Pro, moins de 2 500 € HT pour Boutique = créateur à petit prix).</t>
  </si>
  <si>
    <t xml:space="preserve">Non compté (pour toutes les solutions, ValoWeb compris)</t>
  </si>
  <si>
    <t xml:space="preserve">• Maintenance facultative, temps passé par le client, commissions de paiement, budget publicitaire, options.</t>
  </si>
  <si>
    <t xml:space="preserve">Limites</t>
  </si>
  <si>
    <t xml:space="preserve">• Une partie des prix vient de comparateurs et d'articles, pas toujours de la page officielle : vérifier et capturer chaque page avant usage public.</t>
  </si>
  <si>
    <t xml:space="preserve">• Peu d'agences publient un prix pour une page seule ; peu d'abonnements boutique publient leurs tarifs (nombre d'offres visible dans l'onglet Synthèse).</t>
  </si>
  <si>
    <t xml:space="preserve">• Les abonnements avec engagement de 12 à 24 mois engagent le client au-delà de la durée comparée si celle-ci est plus courte.</t>
  </si>
  <si>
    <t xml:space="preserve">Code couleur : texte bleu = donnée saisie ; texte noir = calcul ; texte vert = lien vers l'onglet Hypothèses ; fond jaune = hypothèse clé.</t>
  </si>
  <si>
    <t xml:space="preserve">Synthèse : coût total HT par forfait, solution et durée</t>
  </si>
  <si>
    <t xml:space="preserve">Minimum = offre la moins chère ; Moyenne = moyenne des milieux de fourchette ; Maximum = haut de fourchette le plus élevé. Calculé à partir de l'onglet Offres.</t>
  </si>
  <si>
    <t xml:space="preserve">Forfait</t>
  </si>
  <si>
    <t xml:space="preserve">Solution</t>
  </si>
  <si>
    <t xml:space="preserve">Nb d'offres</t>
  </si>
  <si>
    <t xml:space="preserve">1 an min</t>
  </si>
  <si>
    <t xml:space="preserve">1 an moyenne</t>
  </si>
  <si>
    <t xml:space="preserve">1 an max</t>
  </si>
  <si>
    <t xml:space="preserve">2 ans min</t>
  </si>
  <si>
    <t xml:space="preserve">2 ans moyenne</t>
  </si>
  <si>
    <t xml:space="preserve">2 ans max</t>
  </si>
  <si>
    <t xml:space="preserve">3 ans min</t>
  </si>
  <si>
    <t xml:space="preserve">3 ans moyenne</t>
  </si>
  <si>
    <t xml:space="preserve">3 ans max</t>
  </si>
  <si>
    <t xml:space="preserve">Essentiel</t>
  </si>
  <si>
    <t xml:space="preserve">ValoWeb</t>
  </si>
  <si>
    <t xml:space="preserve">Le faire soi-même</t>
  </si>
  <si>
    <t xml:space="preserve">Créateur à petit prix</t>
  </si>
  <si>
    <t xml:space="preserve">Abonnement tout compris</t>
  </si>
  <si>
    <t xml:space="preserve">Agence</t>
  </si>
  <si>
    <t xml:space="preserve">Pro</t>
  </si>
  <si>
    <t xml:space="preserve">Boutique</t>
  </si>
  <si>
    <t xml:space="preserve">Sur mesure uniquement : offres et fourchettes qui annoncent un site sur mesure (colonne Z de l'onglet Offres = Oui)</t>
  </si>
  <si>
    <t xml:space="preserve">Comparaison</t>
  </si>
  <si>
    <t xml:space="preserve">Sur mesure (créateurs et agences)</t>
  </si>
  <si>
    <t xml:space="preserve">Scénario « avec maintenance » : créateurs et agences + maintenance médiane (abonnements : déjà incluse ; faire soi-même : aucune)</t>
  </si>
  <si>
    <t xml:space="preserve">Hypothèses et paramètres</t>
  </si>
  <si>
    <t xml:space="preserve">Paramètre</t>
  </si>
  <si>
    <t xml:space="preserve">Valeur</t>
  </si>
  <si>
    <t xml:space="preserve">Unité</t>
  </si>
  <si>
    <t xml:space="preserve">Source / lien</t>
  </si>
  <si>
    <t xml:space="preserve">Taux de change (1 € = x $)</t>
  </si>
  <si>
    <t xml:space="preserve">USD</t>
  </si>
  <si>
    <t xml:space="preserve">Banque de France, 16/10/2026 — https://www.banque-france.fr/fr/statistiques/taux-et-cours/taux-de-change-parites-quotidiennes-2026-10-16</t>
  </si>
  <si>
    <t xml:space="preserve">TVA</t>
  </si>
  <si>
    <t xml:space="preserve">%</t>
  </si>
  <si>
    <t xml:space="preserve">Taux normal</t>
  </si>
  <si>
    <t xml:space="preserve">Hostinger Premium, 48 mois payés d'avance</t>
  </si>
  <si>
    <t xml:space="preserve">€ HT</t>
  </si>
  <si>
    <t xml:space="preserve">https://www.hostinger.com/fr/hebergement-web (2,49 €/mois)</t>
  </si>
  <si>
    <t xml:space="preserve">Hostinger Premium, coût par an</t>
  </si>
  <si>
    <t xml:space="preserve">€ HT / an</t>
  </si>
  <si>
    <t xml:space="preserve">Calcul</t>
  </si>
  <si>
    <t xml:space="preserve">Domaine .fr Hostinger, renouvellement</t>
  </si>
  <si>
    <t xml:space="preserve">USD / an</t>
  </si>
  <si>
    <t xml:space="preserve">https://domainoffer.net/tld/fr/hostinger (domaine offert la 1re année)</t>
  </si>
  <si>
    <t xml:space="preserve">Domaine .fr, coût par an</t>
  </si>
  <si>
    <t xml:space="preserve">Calcul ; utilisé aussi pour les autres solutions</t>
  </si>
  <si>
    <t xml:space="preserve">Supabase Pro</t>
  </si>
  <si>
    <t xml:space="preserve">USD / mois</t>
  </si>
  <si>
    <t xml:space="preserve">https://supabase.com/pricing</t>
  </si>
  <si>
    <t xml:space="preserve">Supabase Pro, coût par an</t>
  </si>
  <si>
    <t xml:space="preserve">Calcul ; ValoWeb Pro et Boutique</t>
  </si>
  <si>
    <t xml:space="preserve">Hébergement + domaine par défaut, site vitrine</t>
  </si>
  <si>
    <t xml:space="preserve">Même base que ValoWeb, quand le prestataire ne l'indique pas</t>
  </si>
  <si>
    <t xml:space="preserve">Hébergement + domaine par défaut, boutique</t>
  </si>
  <si>
    <t xml:space="preserve">OVHcloud Perso 72 €/an + .fr 7,79 € — https://www.lafabriquedunet.fr/creation-site-vitrine/articles/combien-coute-creation-site-vitrine/</t>
  </si>
  <si>
    <t xml:space="preserve">Shopify Basic, coût par an</t>
  </si>
  <si>
    <t xml:space="preserve">https://www.shopify.com/fr/tarifs (boutiques livrées sur Shopify)</t>
  </si>
  <si>
    <t xml:space="preserve">Maintenance médiane créateurs / agences</t>
  </si>
  <si>
    <t xml:space="preserve">Onglet Maintenance (13 offres relevées)</t>
  </si>
  <si>
    <t xml:space="preserve">Maintenance ValoWeb comptée dans le scénario</t>
  </si>
  <si>
    <t xml:space="preserve">À CONFIRMER par Mathieu : 0 si aucun contrat de maintenance n'est nécessaire</t>
  </si>
  <si>
    <t xml:space="preserve">N°</t>
  </si>
  <si>
    <t xml:space="preserve">Prestataire</t>
  </si>
  <si>
    <t xml:space="preserve">Offre / formule</t>
  </si>
  <si>
    <t xml:space="preserve">Création min (HT)</t>
  </si>
  <si>
    <t xml:space="preserve">Création max (HT)</t>
  </si>
  <si>
    <t xml:space="preserve">Abonnement / mois (HT)</t>
  </si>
  <si>
    <t xml:space="preserve">Frais annuels an 1 (HT)</t>
  </si>
  <si>
    <t xml:space="preserve">Frais annuels an 2+ (HT)</t>
  </si>
  <si>
    <t xml:space="preserve">Abonnement / mois à partir de l'an 3</t>
  </si>
  <si>
    <t xml:space="preserve">Engagement</t>
  </si>
  <si>
    <t xml:space="preserve">Coût 1 an min</t>
  </si>
  <si>
    <t xml:space="preserve">Coût 1 an max</t>
  </si>
  <si>
    <t xml:space="preserve">Coût 2 ans min</t>
  </si>
  <si>
    <t xml:space="preserve">Coût 2 ans max</t>
  </si>
  <si>
    <t xml:space="preserve">Coût 3 ans min</t>
  </si>
  <si>
    <t xml:space="preserve">Coût 3 ans max</t>
  </si>
  <si>
    <t xml:space="preserve">Coût 1 an milieu</t>
  </si>
  <si>
    <t xml:space="preserve">Coût 2 ans milieu</t>
  </si>
  <si>
    <t xml:space="preserve">Coût 3 ans milieu</t>
  </si>
  <si>
    <t xml:space="preserve">Notes et hypothèses</t>
  </si>
  <si>
    <t xml:space="preserve">Lien</t>
  </si>
  <si>
    <t xml:space="preserve">Type de source</t>
  </si>
  <si>
    <t xml:space="preserve">Date du relevé</t>
  </si>
  <si>
    <t xml:space="preserve">Sur mesure annoncé ?</t>
  </si>
  <si>
    <t xml:space="preserve">Essentiel (1 page)</t>
  </si>
  <si>
    <t xml:space="preserve">Aucun</t>
  </si>
  <si>
    <t xml:space="preserve">Hébergement Hostinger Premium 48 mois + domaine (offert 1re année) au nom du client. Pas de base Supabase.</t>
  </si>
  <si>
    <t xml:space="preserve">—</t>
  </si>
  <si>
    <t xml:space="preserve">Tarif ValoWeb</t>
  </si>
  <si>
    <t xml:space="preserve">19/10/2026</t>
  </si>
  <si>
    <t xml:space="preserve">Oui</t>
  </si>
  <si>
    <t xml:space="preserve">Wix</t>
  </si>
  <si>
    <t xml:space="preserve">Light</t>
  </si>
  <si>
    <t xml:space="preserve">Facturation annuelle</t>
  </si>
  <si>
    <t xml:space="preserve">Temps passé par le client non compté. Domaine offert 1re année puis ≈14,95 € TTC/an</t>
  </si>
  <si>
    <t xml:space="preserve">https://www.lafabriquedunet.fr/blog/prix-site-wix/</t>
  </si>
  <si>
    <t xml:space="preserve">Article (prix TTC, paiement annuel)</t>
  </si>
  <si>
    <t xml:space="preserve">Non (outil à modèles)</t>
  </si>
  <si>
    <t xml:space="preserve">Squarespace</t>
  </si>
  <si>
    <t xml:space="preserve">Basic</t>
  </si>
  <si>
    <t xml:space="preserve">Temps passé par le client non compté. Prix Basic : La Fabrique du Net, page site vitrine</t>
  </si>
  <si>
    <t xml:space="preserve">https://www.lafabriquedunet.fr/logiciels/alternatives/alternative-wix</t>
  </si>
  <si>
    <t xml:space="preserve">Article (TVA non précisée)</t>
  </si>
  <si>
    <t xml:space="preserve">Jimdo</t>
  </si>
  <si>
    <t xml:space="preserve">Start</t>
  </si>
  <si>
    <t xml:space="preserve">Temps passé par le client non compté. Pas d'offre boutique comparable relevée</t>
  </si>
  <si>
    <t xml:space="preserve">Webador</t>
  </si>
  <si>
    <t xml:space="preserve">Lite</t>
  </si>
  <si>
    <t xml:space="preserve">Temps passé par le client non compté. Domaine offert 1re année puis 20 €/an</t>
  </si>
  <si>
    <t xml:space="preserve">https://www.webador.fr/tarifs</t>
  </si>
  <si>
    <t xml:space="preserve">Site officiel (HT, prix après 12 mois)</t>
  </si>
  <si>
    <t xml:space="preserve">WordPress.com</t>
  </si>
  <si>
    <t xml:space="preserve">Personnel</t>
  </si>
  <si>
    <t xml:space="preserve">Temps passé par le client non compté. Converti au taux BdF</t>
  </si>
  <si>
    <t xml:space="preserve">https://wordpress.com/fr/pricing/</t>
  </si>
  <si>
    <t xml:space="preserve">Site officiel (USD HT, annuel)</t>
  </si>
  <si>
    <t xml:space="preserve">GoDaddy</t>
  </si>
  <si>
    <t xml:space="preserve">De base</t>
  </si>
  <si>
    <t xml:space="preserve">Temps passé par le client non compté.</t>
  </si>
  <si>
    <t xml:space="preserve">https://www.tooltester.com/fr/outils-de-creation-de-site-web/</t>
  </si>
  <si>
    <t xml:space="preserve">Comparateur Tooltester (TVA non précisée)</t>
  </si>
  <si>
    <t xml:space="preserve">e-monsite</t>
  </si>
  <si>
    <t xml:space="preserve">SiteW</t>
  </si>
  <si>
    <t xml:space="preserve">Webnode</t>
  </si>
  <si>
    <t xml:space="preserve">Mini</t>
  </si>
  <si>
    <t xml:space="preserve">Comparateur Tooltester (USD)</t>
  </si>
  <si>
    <t xml:space="preserve">IONOS</t>
  </si>
  <si>
    <t xml:space="preserve">Starter</t>
  </si>
  <si>
    <t xml:space="preserve">One.com</t>
  </si>
  <si>
    <t xml:space="preserve">Strikingly</t>
  </si>
  <si>
    <t xml:space="preserve">Limité</t>
  </si>
  <si>
    <t xml:space="preserve">Weebly</t>
  </si>
  <si>
    <t xml:space="preserve">Hostinger Créateur de site</t>
  </si>
  <si>
    <t xml:space="preserve">Premium (promo 48 mois)</t>
  </si>
  <si>
    <t xml:space="preserve">Temps passé par le client non compté. Prix d'appel avec code promo ; renouvellement plus cher</t>
  </si>
  <si>
    <t xml:space="preserve">https://www.journaldugeek.com/createur-site/</t>
  </si>
  <si>
    <t xml:space="preserve">Article (prix promotionnel)</t>
  </si>
  <si>
    <t xml:space="preserve">Site123</t>
  </si>
  <si>
    <t xml:space="preserve">Premium</t>
  </si>
  <si>
    <t xml:space="preserve">Article (USD)</t>
  </si>
  <si>
    <t xml:space="preserve">Wifeo</t>
  </si>
  <si>
    <t xml:space="preserve">Vorlyx Studio</t>
  </si>
  <si>
    <t xml:space="preserve">Hébergement 150 €/an + domaine 10 à 15 €/an indiqués par le prestataire ; pas de TVA</t>
  </si>
  <si>
    <t xml:space="preserve">https://vorlyxstudio.fr/tarifs-creation-site-internet</t>
  </si>
  <si>
    <t xml:space="preserve">Site officiel</t>
  </si>
  <si>
    <t xml:space="preserve">Non précisé</t>
  </si>
  <si>
    <t xml:space="preserve">MyWebCreator</t>
  </si>
  <si>
    <t xml:space="preserve">https://mywebcreatorfr.fr/creation-site-internet.html</t>
  </si>
  <si>
    <t xml:space="preserve">Site officiel (TVA non précisée)</t>
  </si>
  <si>
    <t xml:space="preserve">Design personnalisé (non précisé)</t>
  </si>
  <si>
    <t xml:space="preserve">FastNet</t>
  </si>
  <si>
    <t xml:space="preserve">Site OnePage</t>
  </si>
  <si>
    <t xml:space="preserve">https://www.fast-net.io/guides/prix-site-one-page-2026.html</t>
  </si>
  <si>
    <t xml:space="preserve">Non (template)</t>
  </si>
  <si>
    <t xml:space="preserve">ELK Agency</t>
  </si>
  <si>
    <t xml:space="preserve">Site clé en main</t>
  </si>
  <si>
    <t xml:space="preserve">Relevé via article</t>
  </si>
  <si>
    <t xml:space="preserve">https://www.geekstinct.fr/combien-coute-un-site-vitrine-pour-un-artisan-a-pierrelatte</t>
  </si>
  <si>
    <t xml:space="preserve">Article (sept. 2026)</t>
  </si>
  <si>
    <t xml:space="preserve">Domitian Tech</t>
  </si>
  <si>
    <t xml:space="preserve">À partir de</t>
  </si>
  <si>
    <t xml:space="preserve">Minerve Web Studio</t>
  </si>
  <si>
    <t xml:space="preserve">Site une page</t>
  </si>
  <si>
    <t xml:space="preserve">Hébergement + domaine ≥ 80 €/an indiqués</t>
  </si>
  <si>
    <t xml:space="preserve">https://traxo.fr/blog/creation-site-internet-reims</t>
  </si>
  <si>
    <t xml:space="preserve">Article</t>
  </si>
  <si>
    <t xml:space="preserve">SacreCréation</t>
  </si>
  <si>
    <t xml:space="preserve">One page (Squarespace)</t>
  </si>
  <si>
    <t xml:space="preserve">Abonnement Squarespace Basic ≈ 144 €/an à payer en plus</t>
  </si>
  <si>
    <t xml:space="preserve">Non (Squarespace)</t>
  </si>
  <si>
    <t xml:space="preserve">Agence Drômoise</t>
  </si>
  <si>
    <t xml:space="preserve">Site vitrine d'entrée</t>
  </si>
  <si>
    <t xml:space="preserve">Jusqu'à 10 pages, rédaction incluse ; domaine et hébergement non inclus</t>
  </si>
  <si>
    <t xml:space="preserve">https://www.agencedromoise.fr/blog/prix-site-vitrine-2026/</t>
  </si>
  <si>
    <t xml:space="preserve">Site officiel (HT)</t>
  </si>
  <si>
    <t xml:space="preserve">Trend Design</t>
  </si>
  <si>
    <t xml:space="preserve">Landing page</t>
  </si>
  <si>
    <t xml:space="preserve">https://www.trend-design.fr/post/prix-creation-site-internet</t>
  </si>
  <si>
    <t xml:space="preserve">Non (Wix Studio)</t>
  </si>
  <si>
    <t xml:space="preserve">Okiweb</t>
  </si>
  <si>
    <t xml:space="preserve">Site internet augmenté</t>
  </si>
  <si>
    <t xml:space="preserve">Nombre de pages non indiqué</t>
  </si>
  <si>
    <t xml:space="preserve">https://www.okiweb.fr/tarifs/vitrine</t>
  </si>
  <si>
    <t xml:space="preserve">Ma Boîte Web</t>
  </si>
  <si>
    <t xml:space="preserve">Formule Présence (1 page)</t>
  </si>
  <si>
    <t xml:space="preserve">https://maboiteweb.fr/offres-et-tarifs/</t>
  </si>
  <si>
    <t xml:space="preserve">Design personnalisé</t>
  </si>
  <si>
    <t xml:space="preserve">Tékitoi</t>
  </si>
  <si>
    <t xml:space="preserve">Site vitrine une page</t>
  </si>
  <si>
    <t xml:space="preserve">Rédaction non incluse</t>
  </si>
  <si>
    <t xml:space="preserve">https://tekitoi.fr/blog/prix-site-internet-2026/</t>
  </si>
  <si>
    <t xml:space="preserve">Freelink</t>
  </si>
  <si>
    <t xml:space="preserve">Site vitrine (dès)</t>
  </si>
  <si>
    <t xml:space="preserve">Prix affiché TTC, converti en HT</t>
  </si>
  <si>
    <t xml:space="preserve">https://agence-freelink.fr/combien-coute-un-site-internet/</t>
  </si>
  <si>
    <t xml:space="preserve">Site officiel (TTC)</t>
  </si>
  <si>
    <t xml:space="preserve">Non (template sous 1 000 €)</t>
  </si>
  <si>
    <t xml:space="preserve">Marché (Tékitoi)</t>
  </si>
  <si>
    <t xml:space="preserve">Site one page professionnel</t>
  </si>
  <si>
    <t xml:space="preserve">Fourchette de marché</t>
  </si>
  <si>
    <t xml:space="preserve">Marché (FastNet)</t>
  </si>
  <si>
    <t xml:space="preserve">One page « sérieux »</t>
  </si>
  <si>
    <t xml:space="preserve">Marché (Moceri)</t>
  </si>
  <si>
    <t xml:space="preserve">Site one page</t>
  </si>
  <si>
    <t xml:space="preserve">https://www.moceri.fr/prix-creation-site-internet/</t>
  </si>
  <si>
    <t xml:space="preserve">Marché (Agence Drômoise)</t>
  </si>
  <si>
    <t xml:space="preserve">Sur mesure, agence « nouvelle génération »</t>
  </si>
  <si>
    <t xml:space="preserve">Fourchette de marché sur mesure</t>
  </si>
  <si>
    <t xml:space="preserve">Clicorama</t>
  </si>
  <si>
    <t xml:space="preserve">Pack Vitrine (1 page)</t>
  </si>
  <si>
    <t xml:space="preserve">Sans engagement</t>
  </si>
  <si>
    <t xml:space="preserve">Hébergement inclus dans l'abonnement.</t>
  </si>
  <si>
    <t xml:space="preserve">https://www.clicorama.fr/offre-site-e-commerce/</t>
  </si>
  <si>
    <t xml:space="preserve">Non précisé (abonnement)</t>
  </si>
  <si>
    <t xml:space="preserve">Webab</t>
  </si>
  <si>
    <t xml:space="preserve">One Page</t>
  </si>
  <si>
    <t xml:space="preserve">Hébergement inclus dans l'abonnement. Frais de création 99 ou 199 € HT selon la page</t>
  </si>
  <si>
    <t xml:space="preserve">https://www.webab.fr/</t>
  </si>
  <si>
    <t xml:space="preserve">Artisan en ligne</t>
  </si>
  <si>
    <t xml:space="preserve">Offre unique</t>
  </si>
  <si>
    <t xml:space="preserve">Hébergement inclus dans l'abonnement. Frais de création non indiqués</t>
  </si>
  <si>
    <t xml:space="preserve">https://www.artisan-en-ligne.fr/</t>
  </si>
  <si>
    <t xml:space="preserve">WebFrance</t>
  </si>
  <si>
    <t xml:space="preserve">Site 1 à 3 pages</t>
  </si>
  <si>
    <t xml:space="preserve">Hébergement inclus dans l'abonnement. Relevé via article</t>
  </si>
  <si>
    <t xml:space="preserve">Traxo</t>
  </si>
  <si>
    <t xml:space="preserve">Starter (annuel)</t>
  </si>
  <si>
    <t xml:space="preserve">12 mois</t>
  </si>
  <si>
    <t xml:space="preserve">Hébergement inclus dans l'abonnement. 50 € HT/mois sans engagement</t>
  </si>
  <si>
    <t xml:space="preserve">Simplébo</t>
  </si>
  <si>
    <t xml:space="preserve">Crédibilité (annuel)</t>
  </si>
  <si>
    <t xml:space="preserve">Paiement annuel</t>
  </si>
  <si>
    <t xml:space="preserve">Hébergement inclus dans l'abonnement. Jusqu'à 10 pages</t>
  </si>
  <si>
    <t xml:space="preserve">https://independant.io/avis/simplebo/</t>
  </si>
  <si>
    <t xml:space="preserve">Article (HT)</t>
  </si>
  <si>
    <t xml:space="preserve">7monsite</t>
  </si>
  <si>
    <t xml:space="preserve">Personnalisé (annuel)</t>
  </si>
  <si>
    <t xml:space="preserve">12 mois en annuel</t>
  </si>
  <si>
    <t xml:space="preserve">Hébergement inclus dans l'abonnement. 5 pages ; 49 € HT/mois sans engagement</t>
  </si>
  <si>
    <t xml:space="preserve">https://7monsite.fr/pricing</t>
  </si>
  <si>
    <t xml:space="preserve">PYJE</t>
  </si>
  <si>
    <t xml:space="preserve">Offre Accès</t>
  </si>
  <si>
    <t xml:space="preserve">24 mois</t>
  </si>
  <si>
    <t xml:space="preserve">Hébergement inclus dans l'abonnement. 5 pages rédigées</t>
  </si>
  <si>
    <t xml:space="preserve">https://pyje.fr/creation-site-internet-acces</t>
  </si>
  <si>
    <t xml:space="preserve">TAOZ</t>
  </si>
  <si>
    <t xml:space="preserve">Pack Web Essentiel</t>
  </si>
  <si>
    <t xml:space="preserve">Hébergement inclus dans l'abonnement. Jusqu'à 5 pages</t>
  </si>
  <si>
    <t xml:space="preserve">https://taoz.fr/prix-site-vitrine-2026/</t>
  </si>
  <si>
    <t xml:space="preserve">PontonWeb</t>
  </si>
  <si>
    <t xml:space="preserve">Vitrine tout compris</t>
  </si>
  <si>
    <t xml:space="preserve">Hébergement inclus dans l'abonnement. 8 pages max ; après 24 mois : domaine + hébergement 98 € HT/an</t>
  </si>
  <si>
    <t xml:space="preserve">https://pontonweb.fr/tarifs/tarif-forfait-creation-de-site-artisan-commercant-pme.html</t>
  </si>
  <si>
    <t xml:space="preserve">WebTensor</t>
  </si>
  <si>
    <t xml:space="preserve">Site artisan</t>
  </si>
  <si>
    <t xml:space="preserve">Hébergement inclus dans l'abonnement. Rachat du site possible 399 €</t>
  </si>
  <si>
    <t xml:space="preserve">https://webtensor.fr/creation-site-web-artisan</t>
  </si>
  <si>
    <t xml:space="preserve">L'Artisan Connecté</t>
  </si>
  <si>
    <t xml:space="preserve">Dès la mise en ligne</t>
  </si>
  <si>
    <t xml:space="preserve">Hébergement inclus dans l'abonnement. Frais de mise en place non indiqués</t>
  </si>
  <si>
    <t xml:space="preserve">https://lartisanconnecte.io/</t>
  </si>
  <si>
    <t xml:space="preserve">SiteToClient</t>
  </si>
  <si>
    <t xml:space="preserve">Hébergement inclus dans l'abonnement. 0 € de création en lancement, 399 € HT ensuite</t>
  </si>
  <si>
    <t xml:space="preserve">https://www.sitetoclient.com/</t>
  </si>
  <si>
    <t xml:space="preserve">WebGazelle</t>
  </si>
  <si>
    <t xml:space="preserve">Forfait Tout Compris</t>
  </si>
  <si>
    <t xml:space="preserve">Hébergement inclus dans l'abonnement. Après 24 mois : abonnement de service dès 29,90 €/mois</t>
  </si>
  <si>
    <t xml:space="preserve">https://www.webgazelle.net/forfait-tout-compris.php</t>
  </si>
  <si>
    <t xml:space="preserve">WebCrew</t>
  </si>
  <si>
    <t xml:space="preserve">https://webcrew.agency/ressources/prix-site-internet</t>
  </si>
  <si>
    <t xml:space="preserve">Residual Labs</t>
  </si>
  <si>
    <t xml:space="preserve">https://residual-labs.fr/blog/prix-site-internet-artisan</t>
  </si>
  <si>
    <t xml:space="preserve">DBMC Web</t>
  </si>
  <si>
    <t xml:space="preserve">Page d'atterrissage</t>
  </si>
  <si>
    <t xml:space="preserve">Rédaction, domaine et 1 an d'hébergement inclus</t>
  </si>
  <si>
    <t xml:space="preserve">Marché (Trend Design)</t>
  </si>
  <si>
    <t xml:space="preserve">Landing page en agence</t>
  </si>
  <si>
    <t xml:space="preserve">Fourchette de marché agences</t>
  </si>
  <si>
    <t xml:space="preserve">Sur-mesure, design travaillé (dès)</t>
  </si>
  <si>
    <t xml:space="preserve">« 1 500 euros et plus »</t>
  </si>
  <si>
    <t xml:space="preserve">Pro (jusqu'à 5 pages)</t>
  </si>
  <si>
    <t xml:space="preserve">Hébergement Hostinger + domaine + Supabase Pro (25 $/mois) au nom du client.</t>
  </si>
  <si>
    <t xml:space="preserve">Business</t>
  </si>
  <si>
    <t xml:space="preserve">Grow</t>
  </si>
  <si>
    <t xml:space="preserve">Standard</t>
  </si>
  <si>
    <t xml:space="preserve">Avancé</t>
  </si>
  <si>
    <t xml:space="preserve">Plus</t>
  </si>
  <si>
    <t xml:space="preserve">Professionnel (5 pages)</t>
  </si>
  <si>
    <t xml:space="preserve">1er mois d'hébergement offert ; pas de TVA</t>
  </si>
  <si>
    <t xml:space="preserve">Site vitrine</t>
  </si>
  <si>
    <t xml:space="preserve">Silver</t>
  </si>
  <si>
    <t xml:space="preserve">Mathieu Pagnier</t>
  </si>
  <si>
    <t xml:space="preserve">Site vitrine WordPress</t>
  </si>
  <si>
    <t xml:space="preserve">Freelance</t>
  </si>
  <si>
    <t xml:space="preserve">Jusqu'à 10 pages, rédaction incluse</t>
  </si>
  <si>
    <t xml:space="preserve">Site vitrine (Squarespace)</t>
  </si>
  <si>
    <t xml:space="preserve">Abonnement Squarespace en plus</t>
  </si>
  <si>
    <t xml:space="preserve">SEO local inclus ; TTC converti</t>
  </si>
  <si>
    <t xml:space="preserve">Vitrine paiement comptant</t>
  </si>
  <si>
    <t xml:space="preserve">Domaine + hébergement 98 € HT/an</t>
  </si>
  <si>
    <t xml:space="preserve">Freelance vitrine 3-5 pages</t>
  </si>
  <si>
    <t xml:space="preserve">Marché (Codeur.com)</t>
  </si>
  <si>
    <t xml:space="preserve">Site marketing</t>
  </si>
  <si>
    <t xml:space="preserve">Fourchette de marché 2025</t>
  </si>
  <si>
    <t xml:space="preserve">https://www.codeur.com/pages/quel-prix-site-vitrine</t>
  </si>
  <si>
    <t xml:space="preserve">Pack Sérénité (5 pages)</t>
  </si>
  <si>
    <t xml:space="preserve">Multi Pages (6 pages)</t>
  </si>
  <si>
    <t xml:space="preserve">Hébergement inclus dans l'abonnement. Nombre de pages non indiqué</t>
  </si>
  <si>
    <t xml:space="preserve">Hébergement inclus dans l'abonnement. Jusqu'à 10 pages, design standard</t>
  </si>
  <si>
    <t xml:space="preserve">Performance (annuel)</t>
  </si>
  <si>
    <t xml:space="preserve">Hébergement inclus dans l'abonnement. Design personnalisé</t>
  </si>
  <si>
    <t xml:space="preserve">Hébergement inclus dans l'abonnement. 5 pages</t>
  </si>
  <si>
    <t xml:space="preserve">Pack Web Performance</t>
  </si>
  <si>
    <t xml:space="preserve">Hébergement inclus dans l'abonnement. 8 pages max ; après 24 mois : 98 € HT/an</t>
  </si>
  <si>
    <t xml:space="preserve">Au résultat</t>
  </si>
  <si>
    <t xml:space="preserve">Hébergement inclus dans l'abonnement. Facturé une fois le site bien classé</t>
  </si>
  <si>
    <t xml:space="preserve">Webiteasy</t>
  </si>
  <si>
    <t xml:space="preserve">Site vitrine tout compris</t>
  </si>
  <si>
    <t xml:space="preserve">https://www.webiteasy.fr/creation-site-vitrine/</t>
  </si>
  <si>
    <t xml:space="preserve">Vitrine 5 pages</t>
  </si>
  <si>
    <t xml:space="preserve">Formule Visibilité (4-5 pages)</t>
  </si>
  <si>
    <t xml:space="preserve">Site vitrine complet (5 pages)</t>
  </si>
  <si>
    <t xml:space="preserve">Site vitrine Framer</t>
  </si>
  <si>
    <t xml:space="preserve">Moceri</t>
  </si>
  <si>
    <t xml:space="preserve">Sun Kissed (5 pages)</t>
  </si>
  <si>
    <t xml:space="preserve">Rédaction et SEO inclus</t>
  </si>
  <si>
    <t xml:space="preserve">Site vitrine essentiel</t>
  </si>
  <si>
    <t xml:space="preserve">Baromètre La Fabrique du Net</t>
  </si>
  <si>
    <t xml:space="preserve">Agence, site vitrine (p25-p75)</t>
  </si>
  <si>
    <t xml:space="preserve">Médiane 3 500 € ; baromètre juillet 2026</t>
  </si>
  <si>
    <t xml:space="preserve">https://www.lafabriquedunet.fr/creation-site-vitrine/articles/combien-coute-creation-site-vitrine/</t>
  </si>
  <si>
    <t xml:space="preserve">Baromètre</t>
  </si>
  <si>
    <t xml:space="preserve">Agence, TPE / indépendant</t>
  </si>
  <si>
    <t xml:space="preserve">Kolonell</t>
  </si>
  <si>
    <t xml:space="preserve">Site vitrine 5 pages artisan</t>
  </si>
  <si>
    <t xml:space="preserve">https://kolonell.com/fr/blog/combien-coute-site-vitrine-5-pages-artisan-btp-toulouse-2026</t>
  </si>
  <si>
    <t xml:space="preserve">Agence vitrine 3-5 pages</t>
  </si>
  <si>
    <t xml:space="preserve">Agence locale ou freelance expérimenté</t>
  </si>
  <si>
    <t xml:space="preserve">Marché (Freelink)</t>
  </si>
  <si>
    <t xml:space="preserve">Agence locale, site vitrine</t>
  </si>
  <si>
    <t xml:space="preserve">Site sur mesure</t>
  </si>
  <si>
    <t xml:space="preserve">Sur mesure complexe ou multilingue</t>
  </si>
  <si>
    <t xml:space="preserve">Vitrine sur-mesure (design poussé, UX/UI)</t>
  </si>
  <si>
    <t xml:space="preserve">Estimation PME, baromètre juillet 2026</t>
  </si>
  <si>
    <t xml:space="preserve">Sur mesure, freelance</t>
  </si>
  <si>
    <t xml:space="preserve">Sur mesure, agence (dès)</t>
  </si>
  <si>
    <t xml:space="preserve">« 20 000 € et plus »</t>
  </si>
  <si>
    <t xml:space="preserve">Idem Pro. Commissions de paiement (Stripe) non comptées, comme pour toutes les solutions.</t>
  </si>
  <si>
    <t xml:space="preserve">Commerce Basic</t>
  </si>
  <si>
    <t xml:space="preserve">Commerce</t>
  </si>
  <si>
    <t xml:space="preserve">E-commerce</t>
  </si>
  <si>
    <t xml:space="preserve">E-commerce Essentiel</t>
  </si>
  <si>
    <t xml:space="preserve">Shop Starter</t>
  </si>
  <si>
    <t xml:space="preserve">Boutique en ligne</t>
  </si>
  <si>
    <t xml:space="preserve">Shopify</t>
  </si>
  <si>
    <t xml:space="preserve">Basic (annuel)</t>
  </si>
  <si>
    <t xml:space="preserve">USD converti. + frais de transaction 2,9 % + 0,30 $. Domaine non inclus.</t>
  </si>
  <si>
    <t xml:space="preserve">https://www.shopify.com/fr/tarifs</t>
  </si>
  <si>
    <t xml:space="preserve">Site officiel (USD)</t>
  </si>
  <si>
    <t xml:space="preserve">Grow (annuel)</t>
  </si>
  <si>
    <t xml:space="preserve">USD converti. Domaine non inclus.</t>
  </si>
  <si>
    <t xml:space="preserve">WiziShop</t>
  </si>
  <si>
    <t xml:space="preserve">Smart (annuel)</t>
  </si>
  <si>
    <t xml:space="preserve">Annuel</t>
  </si>
  <si>
    <t xml:space="preserve">+ 2 % de commission sur les ventes</t>
  </si>
  <si>
    <t xml:space="preserve">https://www.wizishop.fr/go/tarifs</t>
  </si>
  <si>
    <t xml:space="preserve">Business (annuel)</t>
  </si>
  <si>
    <t xml:space="preserve">+ 1 % de commission sur les ventes</t>
  </si>
  <si>
    <t xml:space="preserve">E-commerce (dès)</t>
  </si>
  <si>
    <t xml:space="preserve">E-commerce WordPress</t>
  </si>
  <si>
    <t xml:space="preserve">E-commerce simple à avancé</t>
  </si>
  <si>
    <t xml:space="preserve">Boutique paiement comptant</t>
  </si>
  <si>
    <t xml:space="preserve">Le Site Français</t>
  </si>
  <si>
    <t xml:space="preserve">E-commerce à l'achat</t>
  </si>
  <si>
    <t xml:space="preserve">Moyenne 2 400 € HT</t>
  </si>
  <si>
    <t xml:space="preserve">https://le-site-francais.fr/creation-site-internet/site-e-commerce/</t>
  </si>
  <si>
    <t xml:space="preserve">Oui (à partir de bases de design)</t>
  </si>
  <si>
    <t xml:space="preserve">Sites e-commerce</t>
  </si>
  <si>
    <t xml:space="preserve">« La plupart de nos sites, e-commerce compris, sous 1 300 € »</t>
  </si>
  <si>
    <t xml:space="preserve">123web</t>
  </si>
  <si>
    <t xml:space="preserve">E-commerce Starter (100 produits)</t>
  </si>
  <si>
    <t xml:space="preserve">https://www.123web.fr/prix-site-ecommerce</t>
  </si>
  <si>
    <t xml:space="preserve">Freelance e-commerce</t>
  </si>
  <si>
    <t xml:space="preserve">Pack E-Commerce</t>
  </si>
  <si>
    <t xml:space="preserve">Hébergement inclus dans l'abonnement. Produits illimités</t>
  </si>
  <si>
    <t xml:space="preserve">E-commerce par abonnement</t>
  </si>
  <si>
    <t xml:space="preserve">Non (Le Site Français : à partir de bases)</t>
  </si>
  <si>
    <t xml:space="preserve">Boutique formule mensuelle</t>
  </si>
  <si>
    <t xml:space="preserve">Hébergement inclus dans l'abonnement. Après 24 mois : 98 € HT/an</t>
  </si>
  <si>
    <t xml:space="preserve">Orange Pro</t>
  </si>
  <si>
    <t xml:space="preserve">Site Web Clé en main E-commerce</t>
  </si>
  <si>
    <t xml:space="preserve">Hébergement inclus dans l'abonnement. Jusqu'à 2 500 produits ; modules de paiement en contrats séparés</t>
  </si>
  <si>
    <t xml:space="preserve">https://boutiquepro.orange.fr/internet/options-internet/creation-site-ecommerce</t>
  </si>
  <si>
    <t xml:space="preserve">E-commerce (5 produits)</t>
  </si>
  <si>
    <t xml:space="preserve">Hébergement inclus dans l'abonnement. Limité à 5 produits</t>
  </si>
  <si>
    <t xml:space="preserve">Vendre en ligne (12 produits)</t>
  </si>
  <si>
    <t xml:space="preserve">E-commerce Business (500 produits)</t>
  </si>
  <si>
    <t xml:space="preserve">E-commerce Pro</t>
  </si>
  <si>
    <t xml:space="preserve">E-commerce (Squarespace)</t>
  </si>
  <si>
    <t xml:space="preserve">Abonnement Squarespace Commerce en plus</t>
  </si>
  <si>
    <t xml:space="preserve">Boutique Shopify</t>
  </si>
  <si>
    <t xml:space="preserve">Abonnement Shopify Basic à payer en plus</t>
  </si>
  <si>
    <t xml:space="preserve">Agence e-commerce</t>
  </si>
  <si>
    <t xml:space="preserve">Site e-commerce (dès)</t>
  </si>
  <si>
    <t xml:space="preserve">Baromètre (via WebCrew)</t>
  </si>
  <si>
    <t xml:space="preserve">Médiane agence e-commerce</t>
  </si>
  <si>
    <t xml:space="preserve">Médiane citée</t>
  </si>
  <si>
    <t xml:space="preserve">E-commerce Enterprise sur-mesure (dès)</t>
  </si>
  <si>
    <t xml:space="preserve">Seule offre 123web dite « sur-mesure »</t>
  </si>
  <si>
    <t xml:space="preserve">E-commerce sur mesure (au-delà de)</t>
  </si>
  <si>
    <t xml:space="preserve">Parcours d'achat ou liaisons logicielles sur mesure</t>
  </si>
  <si>
    <t xml:space="preserve">Sur-mesure / applicatif (p25-p75)</t>
  </si>
  <si>
    <t xml:space="preserve">Médiane 18 000 € ; baromètre juillet 2026</t>
  </si>
  <si>
    <t xml:space="preserve">Maintenance mensuelle proposée par les créateurs et agences (relevé du 19/10/2026)</t>
  </si>
  <si>
    <t xml:space="preserve">La maintenance est le plus souvent facultative. Elle sert au scénario « avec maintenance » de l'onglet Synthèse.</t>
  </si>
  <si>
    <t xml:space="preserve">Type</t>
  </si>
  <si>
    <t xml:space="preserve">Min €/mois HT</t>
  </si>
  <si>
    <t xml:space="preserve">Max €/mois HT</t>
  </si>
  <si>
    <t xml:space="preserve">Milieu €/mois</t>
  </si>
  <si>
    <t xml:space="preserve">Obligatoire ?</t>
  </si>
  <si>
    <t xml:space="preserve">Note</t>
  </si>
  <si>
    <t xml:space="preserve">Créateur</t>
  </si>
  <si>
    <t xml:space="preserve">Non</t>
  </si>
  <si>
    <t xml:space="preserve">Optionnelle</t>
  </si>
  <si>
    <t xml:space="preserve">Maintenance WordPress optionnelle</t>
  </si>
  <si>
    <t xml:space="preserve">Minerve Web Studio (niveau 1)</t>
  </si>
  <si>
    <t xml:space="preserve">Minerve Web Studio (niveau 2)</t>
  </si>
  <si>
    <t xml:space="preserve">Minerve Web Studio (niveau 3)</t>
  </si>
  <si>
    <t xml:space="preserve">400 € TTC/an converti</t>
  </si>
  <si>
    <t xml:space="preserve">300 à 600 €/an</t>
  </si>
  <si>
    <t xml:space="preserve">Moceri (marché)</t>
  </si>
  <si>
    <t xml:space="preserve">300 à 1 500 €/an</t>
  </si>
  <si>
    <t xml:space="preserve">Agence Drômoise (marché)</t>
  </si>
  <si>
    <t xml:space="preserve">Marché</t>
  </si>
  <si>
    <t xml:space="preserve">Freelink (marché)</t>
  </si>
  <si>
    <t xml:space="preserve">Accompagnement mensuel, maintenance comprise</t>
  </si>
  <si>
    <t xml:space="preserve">Médiane (€/mois HT)</t>
  </si>
  <si>
    <t xml:space="preserve">Médiane (€/an HT)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</si>
</sst>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&quot; €&quot;;\-#,##0&quot; €&quot;;\-"/>
    <numFmt numFmtId="166" formatCode="0.0000"/>
    <numFmt numFmtId="167" formatCode="0.0%"/>
    <numFmt numFmtId="168" formatCode="#,##0.00&quot; €&quot;;\-#,##0.00&quot; €&quot;;\-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800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sz val="10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73A56"/>
        <bgColor rgb="FF333333"/>
      </patternFill>
    </fill>
    <fill>
      <patternFill patternType="solid">
        <fgColor rgb="FFFFF6E2"/>
        <bgColor rgb="FFFFFFF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4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173A56"/>
          <bgColor rgb="FF000000"/>
        </patternFill>
      </fill>
    </dxf>
    <dxf>
      <fill>
        <patternFill patternType="solid">
          <fgColor rgb="FFFFF6E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008000"/>
          <bgColor rgb="FF000000"/>
        </patternFill>
      </fill>
    </dxf>
    <dxf>
      <fill>
        <patternFill patternType="solid">
          <fgColor rgb="FF0563C1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E2"/>
      <rgbColor rgb="FFCCFFFF"/>
      <rgbColor rgb="FF660066"/>
      <rgbColor rgb="FFFF8080"/>
      <rgbColor rgb="FF0563C1"/>
      <rgbColor rgb="FFD9D4C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73A5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lafabriquedunet.fr/blog/prix-site-wix/" TargetMode="External"/><Relationship Id="rId2" Type="http://schemas.openxmlformats.org/officeDocument/2006/relationships/hyperlink" Target="https://www.lafabriquedunet.fr/logiciels/alternatives/alternative-wix" TargetMode="External"/><Relationship Id="rId3" Type="http://schemas.openxmlformats.org/officeDocument/2006/relationships/hyperlink" Target="https://www.lafabriquedunet.fr/logiciels/alternatives/alternative-wix" TargetMode="External"/><Relationship Id="rId4" Type="http://schemas.openxmlformats.org/officeDocument/2006/relationships/hyperlink" Target="https://www.webador.fr/tarifs" TargetMode="External"/><Relationship Id="rId5" Type="http://schemas.openxmlformats.org/officeDocument/2006/relationships/hyperlink" Target="https://wordpress.com/fr/pricing/" TargetMode="External"/><Relationship Id="rId6" Type="http://schemas.openxmlformats.org/officeDocument/2006/relationships/hyperlink" Target="https://www.tooltester.com/fr/outils-de-creation-de-site-web/" TargetMode="External"/><Relationship Id="rId7" Type="http://schemas.openxmlformats.org/officeDocument/2006/relationships/hyperlink" Target="https://www.tooltester.com/fr/outils-de-creation-de-site-web/" TargetMode="External"/><Relationship Id="rId8" Type="http://schemas.openxmlformats.org/officeDocument/2006/relationships/hyperlink" Target="https://www.tooltester.com/fr/outils-de-creation-de-site-web/" TargetMode="External"/><Relationship Id="rId9" Type="http://schemas.openxmlformats.org/officeDocument/2006/relationships/hyperlink" Target="https://www.tooltester.com/fr/outils-de-creation-de-site-web/" TargetMode="External"/><Relationship Id="rId10" Type="http://schemas.openxmlformats.org/officeDocument/2006/relationships/hyperlink" Target="https://www.tooltester.com/fr/outils-de-creation-de-site-web/" TargetMode="External"/><Relationship Id="rId11" Type="http://schemas.openxmlformats.org/officeDocument/2006/relationships/hyperlink" Target="https://www.tooltester.com/fr/outils-de-creation-de-site-web/" TargetMode="External"/><Relationship Id="rId12" Type="http://schemas.openxmlformats.org/officeDocument/2006/relationships/hyperlink" Target="https://www.tooltester.com/fr/outils-de-creation-de-site-web/" TargetMode="External"/><Relationship Id="rId13" Type="http://schemas.openxmlformats.org/officeDocument/2006/relationships/hyperlink" Target="https://www.tooltester.com/fr/outils-de-creation-de-site-web/" TargetMode="External"/><Relationship Id="rId14" Type="http://schemas.openxmlformats.org/officeDocument/2006/relationships/hyperlink" Target="https://www.journaldugeek.com/createur-site/" TargetMode="External"/><Relationship Id="rId15" Type="http://schemas.openxmlformats.org/officeDocument/2006/relationships/hyperlink" Target="https://www.lafabriquedunet.fr/logiciels/alternatives/alternative-wix" TargetMode="External"/><Relationship Id="rId16" Type="http://schemas.openxmlformats.org/officeDocument/2006/relationships/hyperlink" Target="https://www.tooltester.com/fr/outils-de-creation-de-site-web/" TargetMode="External"/><Relationship Id="rId17" Type="http://schemas.openxmlformats.org/officeDocument/2006/relationships/hyperlink" Target="https://vorlyxstudio.fr/tarifs-creation-site-internet" TargetMode="External"/><Relationship Id="rId18" Type="http://schemas.openxmlformats.org/officeDocument/2006/relationships/hyperlink" Target="https://mywebcreatorfr.fr/creation-site-internet.html" TargetMode="External"/><Relationship Id="rId19" Type="http://schemas.openxmlformats.org/officeDocument/2006/relationships/hyperlink" Target="https://www.fast-net.io/guides/prix-site-one-page-2026.html" TargetMode="External"/><Relationship Id="rId20" Type="http://schemas.openxmlformats.org/officeDocument/2006/relationships/hyperlink" Target="https://www.geekstinct.fr/combien-coute-un-site-vitrine-pour-un-artisan-a-pierrelatte" TargetMode="External"/><Relationship Id="rId21" Type="http://schemas.openxmlformats.org/officeDocument/2006/relationships/hyperlink" Target="https://www.geekstinct.fr/combien-coute-un-site-vitrine-pour-un-artisan-a-pierrelatte" TargetMode="External"/><Relationship Id="rId22" Type="http://schemas.openxmlformats.org/officeDocument/2006/relationships/hyperlink" Target="https://traxo.fr/blog/creation-site-internet-reims" TargetMode="External"/><Relationship Id="rId23" Type="http://schemas.openxmlformats.org/officeDocument/2006/relationships/hyperlink" Target="https://traxo.fr/blog/creation-site-internet-reims" TargetMode="External"/><Relationship Id="rId24" Type="http://schemas.openxmlformats.org/officeDocument/2006/relationships/hyperlink" Target="https://www.agencedromoise.fr/blog/prix-site-vitrine-2026/" TargetMode="External"/><Relationship Id="rId25" Type="http://schemas.openxmlformats.org/officeDocument/2006/relationships/hyperlink" Target="https://www.trend-design.fr/post/prix-creation-site-internet" TargetMode="External"/><Relationship Id="rId26" Type="http://schemas.openxmlformats.org/officeDocument/2006/relationships/hyperlink" Target="https://www.okiweb.fr/tarifs/vitrine" TargetMode="External"/><Relationship Id="rId27" Type="http://schemas.openxmlformats.org/officeDocument/2006/relationships/hyperlink" Target="https://maboiteweb.fr/offres-et-tarifs/" TargetMode="External"/><Relationship Id="rId28" Type="http://schemas.openxmlformats.org/officeDocument/2006/relationships/hyperlink" Target="https://tekitoi.fr/blog/prix-site-internet-2026/" TargetMode="External"/><Relationship Id="rId29" Type="http://schemas.openxmlformats.org/officeDocument/2006/relationships/hyperlink" Target="https://agence-freelink.fr/combien-coute-un-site-internet/" TargetMode="External"/><Relationship Id="rId30" Type="http://schemas.openxmlformats.org/officeDocument/2006/relationships/hyperlink" Target="https://tekitoi.fr/blog/prix-site-internet-2026/" TargetMode="External"/><Relationship Id="rId31" Type="http://schemas.openxmlformats.org/officeDocument/2006/relationships/hyperlink" Target="https://www.fast-net.io/guides/prix-site-one-page-2026.html" TargetMode="External"/><Relationship Id="rId32" Type="http://schemas.openxmlformats.org/officeDocument/2006/relationships/hyperlink" Target="https://www.moceri.fr/prix-creation-site-internet/" TargetMode="External"/><Relationship Id="rId33" Type="http://schemas.openxmlformats.org/officeDocument/2006/relationships/hyperlink" Target="https://www.agencedromoise.fr/blog/prix-site-vitrine-2026/" TargetMode="External"/><Relationship Id="rId34" Type="http://schemas.openxmlformats.org/officeDocument/2006/relationships/hyperlink" Target="https://www.clicorama.fr/offre-site-e-commerce/" TargetMode="External"/><Relationship Id="rId35" Type="http://schemas.openxmlformats.org/officeDocument/2006/relationships/hyperlink" Target="https://www.webab.fr/" TargetMode="External"/><Relationship Id="rId36" Type="http://schemas.openxmlformats.org/officeDocument/2006/relationships/hyperlink" Target="https://www.artisan-en-ligne.fr/" TargetMode="External"/><Relationship Id="rId37" Type="http://schemas.openxmlformats.org/officeDocument/2006/relationships/hyperlink" Target="https://www.geekstinct.fr/combien-coute-un-site-vitrine-pour-un-artisan-a-pierrelatte" TargetMode="External"/><Relationship Id="rId38" Type="http://schemas.openxmlformats.org/officeDocument/2006/relationships/hyperlink" Target="https://traxo.fr/blog/creation-site-internet-reims" TargetMode="External"/><Relationship Id="rId39" Type="http://schemas.openxmlformats.org/officeDocument/2006/relationships/hyperlink" Target="https://independant.io/avis/simplebo/" TargetMode="External"/><Relationship Id="rId40" Type="http://schemas.openxmlformats.org/officeDocument/2006/relationships/hyperlink" Target="https://7monsite.fr/pricing" TargetMode="External"/><Relationship Id="rId41" Type="http://schemas.openxmlformats.org/officeDocument/2006/relationships/hyperlink" Target="https://pyje.fr/creation-site-internet-acces" TargetMode="External"/><Relationship Id="rId42" Type="http://schemas.openxmlformats.org/officeDocument/2006/relationships/hyperlink" Target="https://taoz.fr/prix-site-vitrine-2026/" TargetMode="External"/><Relationship Id="rId43" Type="http://schemas.openxmlformats.org/officeDocument/2006/relationships/hyperlink" Target="https://pontonweb.fr/tarifs/tarif-forfait-creation-de-site-artisan-commercant-pme.html" TargetMode="External"/><Relationship Id="rId44" Type="http://schemas.openxmlformats.org/officeDocument/2006/relationships/hyperlink" Target="https://webtensor.fr/creation-site-web-artisan" TargetMode="External"/><Relationship Id="rId45" Type="http://schemas.openxmlformats.org/officeDocument/2006/relationships/hyperlink" Target="https://lartisanconnecte.io/" TargetMode="External"/><Relationship Id="rId46" Type="http://schemas.openxmlformats.org/officeDocument/2006/relationships/hyperlink" Target="https://www.sitetoclient.com/" TargetMode="External"/><Relationship Id="rId47" Type="http://schemas.openxmlformats.org/officeDocument/2006/relationships/hyperlink" Target="https://www.webgazelle.net/forfait-tout-compris.php" TargetMode="External"/><Relationship Id="rId48" Type="http://schemas.openxmlformats.org/officeDocument/2006/relationships/hyperlink" Target="https://webcrew.agency/ressources/prix-site-internet" TargetMode="External"/><Relationship Id="rId49" Type="http://schemas.openxmlformats.org/officeDocument/2006/relationships/hyperlink" Target="https://residual-labs.fr/blog/prix-site-internet-artisan" TargetMode="External"/><Relationship Id="rId50" Type="http://schemas.openxmlformats.org/officeDocument/2006/relationships/hyperlink" Target="https://www.geekstinct.fr/combien-coute-un-site-vitrine-pour-un-artisan-a-pierrelatte" TargetMode="External"/><Relationship Id="rId51" Type="http://schemas.openxmlformats.org/officeDocument/2006/relationships/hyperlink" Target="https://www.trend-design.fr/post/prix-creation-site-internet" TargetMode="External"/><Relationship Id="rId52" Type="http://schemas.openxmlformats.org/officeDocument/2006/relationships/hyperlink" Target="https://www.fast-net.io/guides/prix-site-one-page-2026.html" TargetMode="External"/><Relationship Id="rId53" Type="http://schemas.openxmlformats.org/officeDocument/2006/relationships/hyperlink" Target="https://www.lafabriquedunet.fr/blog/prix-site-wix/" TargetMode="External"/><Relationship Id="rId54" Type="http://schemas.openxmlformats.org/officeDocument/2006/relationships/hyperlink" Target="https://www.lafabriquedunet.fr/logiciels/alternatives/alternative-wix" TargetMode="External"/><Relationship Id="rId55" Type="http://schemas.openxmlformats.org/officeDocument/2006/relationships/hyperlink" Target="https://www.lafabriquedunet.fr/logiciels/alternatives/alternative-wix" TargetMode="External"/><Relationship Id="rId56" Type="http://schemas.openxmlformats.org/officeDocument/2006/relationships/hyperlink" Target="https://www.webador.fr/tarifs" TargetMode="External"/><Relationship Id="rId57" Type="http://schemas.openxmlformats.org/officeDocument/2006/relationships/hyperlink" Target="https://wordpress.com/fr/pricing/" TargetMode="External"/><Relationship Id="rId58" Type="http://schemas.openxmlformats.org/officeDocument/2006/relationships/hyperlink" Target="https://www.tooltester.com/fr/outils-de-creation-de-site-web/" TargetMode="External"/><Relationship Id="rId59" Type="http://schemas.openxmlformats.org/officeDocument/2006/relationships/hyperlink" Target="https://www.tooltester.com/fr/outils-de-creation-de-site-web/" TargetMode="External"/><Relationship Id="rId60" Type="http://schemas.openxmlformats.org/officeDocument/2006/relationships/hyperlink" Target="https://www.tooltester.com/fr/outils-de-creation-de-site-web/" TargetMode="External"/><Relationship Id="rId61" Type="http://schemas.openxmlformats.org/officeDocument/2006/relationships/hyperlink" Target="https://www.tooltester.com/fr/outils-de-creation-de-site-web/" TargetMode="External"/><Relationship Id="rId62" Type="http://schemas.openxmlformats.org/officeDocument/2006/relationships/hyperlink" Target="https://www.tooltester.com/fr/outils-de-creation-de-site-web/" TargetMode="External"/><Relationship Id="rId63" Type="http://schemas.openxmlformats.org/officeDocument/2006/relationships/hyperlink" Target="https://www.tooltester.com/fr/outils-de-creation-de-site-web/" TargetMode="External"/><Relationship Id="rId64" Type="http://schemas.openxmlformats.org/officeDocument/2006/relationships/hyperlink" Target="https://www.tooltester.com/fr/outils-de-creation-de-site-web/" TargetMode="External"/><Relationship Id="rId65" Type="http://schemas.openxmlformats.org/officeDocument/2006/relationships/hyperlink" Target="https://www.tooltester.com/fr/outils-de-creation-de-site-web/" TargetMode="External"/><Relationship Id="rId66" Type="http://schemas.openxmlformats.org/officeDocument/2006/relationships/hyperlink" Target="https://www.journaldugeek.com/createur-site/" TargetMode="External"/><Relationship Id="rId67" Type="http://schemas.openxmlformats.org/officeDocument/2006/relationships/hyperlink" Target="https://www.lafabriquedunet.fr/logiciels/alternatives/alternative-wix" TargetMode="External"/><Relationship Id="rId68" Type="http://schemas.openxmlformats.org/officeDocument/2006/relationships/hyperlink" Target="https://www.tooltester.com/fr/outils-de-creation-de-site-web/" TargetMode="External"/><Relationship Id="rId69" Type="http://schemas.openxmlformats.org/officeDocument/2006/relationships/hyperlink" Target="https://vorlyxstudio.fr/tarifs-creation-site-internet" TargetMode="External"/><Relationship Id="rId70" Type="http://schemas.openxmlformats.org/officeDocument/2006/relationships/hyperlink" Target="https://mywebcreatorfr.fr/creation-site-internet.html" TargetMode="External"/><Relationship Id="rId71" Type="http://schemas.openxmlformats.org/officeDocument/2006/relationships/hyperlink" Target="https://www.fast-net.io/guides/prix-site-one-page-2026.html" TargetMode="External"/><Relationship Id="rId72" Type="http://schemas.openxmlformats.org/officeDocument/2006/relationships/hyperlink" Target="https://traxo.fr/blog/creation-site-internet-reims" TargetMode="External"/><Relationship Id="rId73" Type="http://schemas.openxmlformats.org/officeDocument/2006/relationships/hyperlink" Target="https://traxo.fr/blog/creation-site-internet-reims" TargetMode="External"/><Relationship Id="rId74" Type="http://schemas.openxmlformats.org/officeDocument/2006/relationships/hyperlink" Target="https://www.agencedromoise.fr/blog/prix-site-vitrine-2026/" TargetMode="External"/><Relationship Id="rId75" Type="http://schemas.openxmlformats.org/officeDocument/2006/relationships/hyperlink" Target="https://traxo.fr/blog/creation-site-internet-reims" TargetMode="External"/><Relationship Id="rId76" Type="http://schemas.openxmlformats.org/officeDocument/2006/relationships/hyperlink" Target="https://agence-freelink.fr/combien-coute-un-site-internet/" TargetMode="External"/><Relationship Id="rId77" Type="http://schemas.openxmlformats.org/officeDocument/2006/relationships/hyperlink" Target="https://pontonweb.fr/tarifs/tarif-forfait-creation-de-site-artisan-commercant-pme.html" TargetMode="External"/><Relationship Id="rId78" Type="http://schemas.openxmlformats.org/officeDocument/2006/relationships/hyperlink" Target="https://www.trend-design.fr/post/prix-creation-site-internet" TargetMode="External"/><Relationship Id="rId79" Type="http://schemas.openxmlformats.org/officeDocument/2006/relationships/hyperlink" Target="https://www.codeur.com/pages/quel-prix-site-vitrine" TargetMode="External"/><Relationship Id="rId80" Type="http://schemas.openxmlformats.org/officeDocument/2006/relationships/hyperlink" Target="https://www.agencedromoise.fr/blog/prix-site-vitrine-2026/" TargetMode="External"/><Relationship Id="rId81" Type="http://schemas.openxmlformats.org/officeDocument/2006/relationships/hyperlink" Target="https://www.clicorama.fr/offre-site-e-commerce/" TargetMode="External"/><Relationship Id="rId82" Type="http://schemas.openxmlformats.org/officeDocument/2006/relationships/hyperlink" Target="https://www.webab.fr/" TargetMode="External"/><Relationship Id="rId83" Type="http://schemas.openxmlformats.org/officeDocument/2006/relationships/hyperlink" Target="https://www.artisan-en-ligne.fr/" TargetMode="External"/><Relationship Id="rId84" Type="http://schemas.openxmlformats.org/officeDocument/2006/relationships/hyperlink" Target="https://independant.io/avis/simplebo/" TargetMode="External"/><Relationship Id="rId85" Type="http://schemas.openxmlformats.org/officeDocument/2006/relationships/hyperlink" Target="https://independant.io/avis/simplebo/" TargetMode="External"/><Relationship Id="rId86" Type="http://schemas.openxmlformats.org/officeDocument/2006/relationships/hyperlink" Target="https://7monsite.fr/pricing" TargetMode="External"/><Relationship Id="rId87" Type="http://schemas.openxmlformats.org/officeDocument/2006/relationships/hyperlink" Target="https://pyje.fr/creation-site-internet-acces" TargetMode="External"/><Relationship Id="rId88" Type="http://schemas.openxmlformats.org/officeDocument/2006/relationships/hyperlink" Target="https://taoz.fr/prix-site-vitrine-2026/" TargetMode="External"/><Relationship Id="rId89" Type="http://schemas.openxmlformats.org/officeDocument/2006/relationships/hyperlink" Target="https://taoz.fr/prix-site-vitrine-2026/" TargetMode="External"/><Relationship Id="rId90" Type="http://schemas.openxmlformats.org/officeDocument/2006/relationships/hyperlink" Target="https://pontonweb.fr/tarifs/tarif-forfait-creation-de-site-artisan-commercant-pme.html" TargetMode="External"/><Relationship Id="rId91" Type="http://schemas.openxmlformats.org/officeDocument/2006/relationships/hyperlink" Target="https://webtensor.fr/creation-site-web-artisan" TargetMode="External"/><Relationship Id="rId92" Type="http://schemas.openxmlformats.org/officeDocument/2006/relationships/hyperlink" Target="https://lartisanconnecte.io/" TargetMode="External"/><Relationship Id="rId93" Type="http://schemas.openxmlformats.org/officeDocument/2006/relationships/hyperlink" Target="https://www.webgazelle.net/forfait-tout-compris.php" TargetMode="External"/><Relationship Id="rId94" Type="http://schemas.openxmlformats.org/officeDocument/2006/relationships/hyperlink" Target="https://www.webiteasy.fr/creation-site-vitrine/" TargetMode="External"/><Relationship Id="rId95" Type="http://schemas.openxmlformats.org/officeDocument/2006/relationships/hyperlink" Target="https://www.trend-design.fr/post/prix-creation-site-internet" TargetMode="External"/><Relationship Id="rId96" Type="http://schemas.openxmlformats.org/officeDocument/2006/relationships/hyperlink" Target="https://maboiteweb.fr/offres-et-tarifs/" TargetMode="External"/><Relationship Id="rId97" Type="http://schemas.openxmlformats.org/officeDocument/2006/relationships/hyperlink" Target="https://tekitoi.fr/blog/prix-site-internet-2026/" TargetMode="External"/><Relationship Id="rId98" Type="http://schemas.openxmlformats.org/officeDocument/2006/relationships/hyperlink" Target="https://webcrew.agency/ressources/prix-site-internet" TargetMode="External"/><Relationship Id="rId99" Type="http://schemas.openxmlformats.org/officeDocument/2006/relationships/hyperlink" Target="https://www.moceri.fr/prix-creation-site-internet/" TargetMode="External"/><Relationship Id="rId100" Type="http://schemas.openxmlformats.org/officeDocument/2006/relationships/hyperlink" Target="https://residual-labs.fr/blog/prix-site-internet-artisan" TargetMode="External"/><Relationship Id="rId101" Type="http://schemas.openxmlformats.org/officeDocument/2006/relationships/hyperlink" Target="https://www.lafabriquedunet.fr/creation-site-vitrine/articles/combien-coute-creation-site-vitrine/" TargetMode="External"/><Relationship Id="rId102" Type="http://schemas.openxmlformats.org/officeDocument/2006/relationships/hyperlink" Target="https://www.lafabriquedunet.fr/creation-site-vitrine/articles/combien-coute-creation-site-vitrine/" TargetMode="External"/><Relationship Id="rId103" Type="http://schemas.openxmlformats.org/officeDocument/2006/relationships/hyperlink" Target="https://kolonell.com/fr/blog/combien-coute-site-vitrine-5-pages-artisan-btp-toulouse-2026" TargetMode="External"/><Relationship Id="rId104" Type="http://schemas.openxmlformats.org/officeDocument/2006/relationships/hyperlink" Target="https://www.trend-design.fr/post/prix-creation-site-internet" TargetMode="External"/><Relationship Id="rId105" Type="http://schemas.openxmlformats.org/officeDocument/2006/relationships/hyperlink" Target="https://www.agencedromoise.fr/blog/prix-site-vitrine-2026/" TargetMode="External"/><Relationship Id="rId106" Type="http://schemas.openxmlformats.org/officeDocument/2006/relationships/hyperlink" Target="https://agence-freelink.fr/combien-coute-un-site-internet/" TargetMode="External"/><Relationship Id="rId107" Type="http://schemas.openxmlformats.org/officeDocument/2006/relationships/hyperlink" Target="https://www.codeur.com/pages/quel-prix-site-vitrine" TargetMode="External"/><Relationship Id="rId108" Type="http://schemas.openxmlformats.org/officeDocument/2006/relationships/hyperlink" Target="https://www.agencedromoise.fr/blog/prix-site-vitrine-2026/" TargetMode="External"/><Relationship Id="rId109" Type="http://schemas.openxmlformats.org/officeDocument/2006/relationships/hyperlink" Target="https://www.fast-net.io/guides/prix-site-one-page-2026.html" TargetMode="External"/><Relationship Id="rId110" Type="http://schemas.openxmlformats.org/officeDocument/2006/relationships/hyperlink" Target="https://www.lafabriquedunet.fr/creation-site-vitrine/articles/combien-coute-creation-site-vitrine/" TargetMode="External"/><Relationship Id="rId111" Type="http://schemas.openxmlformats.org/officeDocument/2006/relationships/hyperlink" Target="https://www.trend-design.fr/post/prix-creation-site-internet" TargetMode="External"/><Relationship Id="rId112" Type="http://schemas.openxmlformats.org/officeDocument/2006/relationships/hyperlink" Target="https://www.trend-design.fr/post/prix-creation-site-internet" TargetMode="External"/><Relationship Id="rId113" Type="http://schemas.openxmlformats.org/officeDocument/2006/relationships/hyperlink" Target="https://www.lafabriquedunet.fr/blog/prix-site-wix/" TargetMode="External"/><Relationship Id="rId114" Type="http://schemas.openxmlformats.org/officeDocument/2006/relationships/hyperlink" Target="https://www.lafabriquedunet.fr/logiciels/alternatives/alternative-wix" TargetMode="External"/><Relationship Id="rId115" Type="http://schemas.openxmlformats.org/officeDocument/2006/relationships/hyperlink" Target="https://www.webador.fr/tarifs" TargetMode="External"/><Relationship Id="rId116" Type="http://schemas.openxmlformats.org/officeDocument/2006/relationships/hyperlink" Target="https://wordpress.com/fr/pricing/" TargetMode="External"/><Relationship Id="rId117" Type="http://schemas.openxmlformats.org/officeDocument/2006/relationships/hyperlink" Target="https://www.tooltester.com/fr/outils-de-creation-de-site-web/" TargetMode="External"/><Relationship Id="rId118" Type="http://schemas.openxmlformats.org/officeDocument/2006/relationships/hyperlink" Target="https://www.tooltester.com/fr/outils-de-creation-de-site-web/" TargetMode="External"/><Relationship Id="rId119" Type="http://schemas.openxmlformats.org/officeDocument/2006/relationships/hyperlink" Target="https://www.tooltester.com/fr/outils-de-creation-de-site-web/" TargetMode="External"/><Relationship Id="rId120" Type="http://schemas.openxmlformats.org/officeDocument/2006/relationships/hyperlink" Target="https://www.tooltester.com/fr/outils-de-creation-de-site-web/" TargetMode="External"/><Relationship Id="rId121" Type="http://schemas.openxmlformats.org/officeDocument/2006/relationships/hyperlink" Target="https://www.tooltester.com/fr/outils-de-creation-de-site-web/" TargetMode="External"/><Relationship Id="rId122" Type="http://schemas.openxmlformats.org/officeDocument/2006/relationships/hyperlink" Target="https://www.tooltester.com/fr/outils-de-creation-de-site-web/" TargetMode="External"/><Relationship Id="rId123" Type="http://schemas.openxmlformats.org/officeDocument/2006/relationships/hyperlink" Target="https://www.journaldugeek.com/createur-site/" TargetMode="External"/><Relationship Id="rId124" Type="http://schemas.openxmlformats.org/officeDocument/2006/relationships/hyperlink" Target="https://www.shopify.com/fr/tarifs" TargetMode="External"/><Relationship Id="rId125" Type="http://schemas.openxmlformats.org/officeDocument/2006/relationships/hyperlink" Target="https://www.shopify.com/fr/tarifs" TargetMode="External"/><Relationship Id="rId126" Type="http://schemas.openxmlformats.org/officeDocument/2006/relationships/hyperlink" Target="https://www.wizishop.fr/go/tarifs" TargetMode="External"/><Relationship Id="rId127" Type="http://schemas.openxmlformats.org/officeDocument/2006/relationships/hyperlink" Target="https://www.wizishop.fr/go/tarifs" TargetMode="External"/><Relationship Id="rId128" Type="http://schemas.openxmlformats.org/officeDocument/2006/relationships/hyperlink" Target="https://www.okiweb.fr/tarifs/vitrine" TargetMode="External"/><Relationship Id="rId129" Type="http://schemas.openxmlformats.org/officeDocument/2006/relationships/hyperlink" Target="https://traxo.fr/blog/creation-site-internet-reims" TargetMode="External"/><Relationship Id="rId130" Type="http://schemas.openxmlformats.org/officeDocument/2006/relationships/hyperlink" Target="https://www.trend-design.fr/post/prix-creation-site-internet" TargetMode="External"/><Relationship Id="rId131" Type="http://schemas.openxmlformats.org/officeDocument/2006/relationships/hyperlink" Target="https://pontonweb.fr/tarifs/tarif-forfait-creation-de-site-artisan-commercant-pme.html" TargetMode="External"/><Relationship Id="rId132" Type="http://schemas.openxmlformats.org/officeDocument/2006/relationships/hyperlink" Target="https://le-site-francais.fr/creation-site-internet/site-e-commerce/" TargetMode="External"/><Relationship Id="rId133" Type="http://schemas.openxmlformats.org/officeDocument/2006/relationships/hyperlink" Target="https://www.agencedromoise.fr/blog/prix-site-vitrine-2026/" TargetMode="External"/><Relationship Id="rId134" Type="http://schemas.openxmlformats.org/officeDocument/2006/relationships/hyperlink" Target="https://www.123web.fr/prix-site-ecommerce" TargetMode="External"/><Relationship Id="rId135" Type="http://schemas.openxmlformats.org/officeDocument/2006/relationships/hyperlink" Target="https://www.trend-design.fr/post/prix-creation-site-internet" TargetMode="External"/><Relationship Id="rId136" Type="http://schemas.openxmlformats.org/officeDocument/2006/relationships/hyperlink" Target="https://www.clicorama.fr/offre-site-e-commerce/" TargetMode="External"/><Relationship Id="rId137" Type="http://schemas.openxmlformats.org/officeDocument/2006/relationships/hyperlink" Target="https://le-site-francais.fr/creation-site-internet/site-e-commerce/" TargetMode="External"/><Relationship Id="rId138" Type="http://schemas.openxmlformats.org/officeDocument/2006/relationships/hyperlink" Target="https://pontonweb.fr/tarifs/tarif-forfait-creation-de-site-artisan-commercant-pme.html" TargetMode="External"/><Relationship Id="rId139" Type="http://schemas.openxmlformats.org/officeDocument/2006/relationships/hyperlink" Target="https://boutiquepro.orange.fr/internet/options-internet/creation-site-ecommerce" TargetMode="External"/><Relationship Id="rId140" Type="http://schemas.openxmlformats.org/officeDocument/2006/relationships/hyperlink" Target="https://www.webab.fr/" TargetMode="External"/><Relationship Id="rId141" Type="http://schemas.openxmlformats.org/officeDocument/2006/relationships/hyperlink" Target="https://maboiteweb.fr/offres-et-tarifs/" TargetMode="External"/><Relationship Id="rId142" Type="http://schemas.openxmlformats.org/officeDocument/2006/relationships/hyperlink" Target="https://www.123web.fr/prix-site-ecommerce" TargetMode="External"/><Relationship Id="rId143" Type="http://schemas.openxmlformats.org/officeDocument/2006/relationships/hyperlink" Target="https://www.123web.fr/prix-site-ecommerce" TargetMode="External"/><Relationship Id="rId144" Type="http://schemas.openxmlformats.org/officeDocument/2006/relationships/hyperlink" Target="https://traxo.fr/blog/creation-site-internet-reims" TargetMode="External"/><Relationship Id="rId145" Type="http://schemas.openxmlformats.org/officeDocument/2006/relationships/hyperlink" Target="https://webcrew.agency/ressources/prix-site-internet" TargetMode="External"/><Relationship Id="rId146" Type="http://schemas.openxmlformats.org/officeDocument/2006/relationships/hyperlink" Target="https://www.trend-design.fr/post/prix-creation-site-internet" TargetMode="External"/><Relationship Id="rId147" Type="http://schemas.openxmlformats.org/officeDocument/2006/relationships/hyperlink" Target="https://www.moceri.fr/prix-creation-site-internet/" TargetMode="External"/><Relationship Id="rId148" Type="http://schemas.openxmlformats.org/officeDocument/2006/relationships/hyperlink" Target="https://webcrew.agency/ressources/prix-site-internet" TargetMode="External"/><Relationship Id="rId149" Type="http://schemas.openxmlformats.org/officeDocument/2006/relationships/hyperlink" Target="https://www.123web.fr/prix-site-ecommerce" TargetMode="External"/><Relationship Id="rId150" Type="http://schemas.openxmlformats.org/officeDocument/2006/relationships/hyperlink" Target="https://agence-freelink.fr/combien-coute-un-site-internet/" TargetMode="External"/><Relationship Id="rId151" Type="http://schemas.openxmlformats.org/officeDocument/2006/relationships/hyperlink" Target="https://www.lafabriquedunet.fr/creation-site-vitrine/articles/combien-coute-creation-site-vitrine/" TargetMode="External"/><Relationship Id="rId152" Type="http://schemas.openxmlformats.org/officeDocument/2006/relationships/drawing" Target="../drawings/drawing1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mywebcreatorfr.fr/creation-site-internet.html" TargetMode="External"/><Relationship Id="rId2" Type="http://schemas.openxmlformats.org/officeDocument/2006/relationships/hyperlink" Target="https://maboiteweb.fr/offres-et-tarifs/" TargetMode="External"/><Relationship Id="rId3" Type="http://schemas.openxmlformats.org/officeDocument/2006/relationships/hyperlink" Target="https://traxo.fr/blog/creation-site-internet-reims" TargetMode="External"/><Relationship Id="rId4" Type="http://schemas.openxmlformats.org/officeDocument/2006/relationships/hyperlink" Target="https://traxo.fr/blog/creation-site-internet-reims" TargetMode="External"/><Relationship Id="rId5" Type="http://schemas.openxmlformats.org/officeDocument/2006/relationships/hyperlink" Target="https://traxo.fr/blog/creation-site-internet-reims" TargetMode="External"/><Relationship Id="rId6" Type="http://schemas.openxmlformats.org/officeDocument/2006/relationships/hyperlink" Target="https://traxo.fr/blog/creation-site-internet-reims" TargetMode="External"/><Relationship Id="rId7" Type="http://schemas.openxmlformats.org/officeDocument/2006/relationships/hyperlink" Target="https://www.123web.fr/prix-site-ecommerce" TargetMode="External"/><Relationship Id="rId8" Type="http://schemas.openxmlformats.org/officeDocument/2006/relationships/hyperlink" Target="https://kolonell.com/fr/blog/combien-coute-site-vitrine-5-pages-artisan-btp-toulouse-2026" TargetMode="External"/><Relationship Id="rId9" Type="http://schemas.openxmlformats.org/officeDocument/2006/relationships/hyperlink" Target="https://www.moceri.fr/prix-creation-site-internet/" TargetMode="External"/><Relationship Id="rId10" Type="http://schemas.openxmlformats.org/officeDocument/2006/relationships/hyperlink" Target="https://www.agencedromoise.fr/blog/prix-site-vitrine-2026/" TargetMode="External"/><Relationship Id="rId11" Type="http://schemas.openxmlformats.org/officeDocument/2006/relationships/hyperlink" Target="https://agence-freelink.fr/combien-coute-un-site-internet/" TargetMode="External"/><Relationship Id="rId12" Type="http://schemas.openxmlformats.org/officeDocument/2006/relationships/hyperlink" Target="https://residual-labs.fr/blog/prix-site-internet-artisan" TargetMode="External"/><Relationship Id="rId13" Type="http://schemas.openxmlformats.org/officeDocument/2006/relationships/hyperlink" Target="https://webcrew.agency/ressources/prix-site-interne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/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 t="s">
        <v>8</v>
      </c>
    </row>
    <row r="11" customFormat="false" ht="15" hidden="false" customHeight="false" outlineLevel="0" collapsed="false">
      <c r="A11" s="3"/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3"/>
    </row>
    <row r="15" customFormat="false" ht="15" hidden="false" customHeight="false" outlineLevel="0" collapsed="false">
      <c r="A15" s="2" t="s">
        <v>11</v>
      </c>
    </row>
    <row r="16" customFormat="false" ht="15" hidden="false" customHeight="false" outlineLevel="0" collapsed="false">
      <c r="A16" s="3" t="s">
        <v>12</v>
      </c>
    </row>
    <row r="17" customFormat="false" ht="15" hidden="false" customHeight="false" outlineLevel="0" collapsed="false">
      <c r="A17" s="3" t="s">
        <v>13</v>
      </c>
    </row>
    <row r="18" customFormat="false" ht="15" hidden="false" customHeight="false" outlineLevel="0" collapsed="false">
      <c r="A18" s="3" t="s">
        <v>14</v>
      </c>
    </row>
    <row r="19" customFormat="false" ht="15" hidden="false" customHeight="false" outlineLevel="0" collapsed="false">
      <c r="A19" s="3"/>
    </row>
    <row r="20" customFormat="false" ht="15" hidden="false" customHeight="false" outlineLevel="0" collapsed="false">
      <c r="A20" s="3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6"/>
    <col collapsed="false" customWidth="true" hidden="false" outlineLevel="0" max="3" min="3" style="0" width="10"/>
    <col collapsed="false" customWidth="true" hidden="false" outlineLevel="0" max="12" min="4" style="0" width="13"/>
  </cols>
  <sheetData>
    <row r="1" customFormat="false" ht="17.35" hidden="false" customHeight="false" outlineLevel="0" collapsed="false">
      <c r="A1" s="1" t="s">
        <v>16</v>
      </c>
    </row>
    <row r="2" customFormat="false" ht="15" hidden="false" customHeight="false" outlineLevel="0" collapsed="false">
      <c r="A2" s="3" t="s">
        <v>17</v>
      </c>
    </row>
    <row r="4" customFormat="false" ht="23.85" hidden="false" customHeight="false" outlineLevel="0" collapsed="false">
      <c r="A4" s="4" t="s">
        <v>18</v>
      </c>
      <c r="B4" s="4" t="s">
        <v>19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  <c r="H4" s="4" t="s">
        <v>25</v>
      </c>
      <c r="I4" s="4" t="s">
        <v>26</v>
      </c>
      <c r="J4" s="4" t="s">
        <v>27</v>
      </c>
      <c r="K4" s="4" t="s">
        <v>28</v>
      </c>
      <c r="L4" s="4" t="s">
        <v>29</v>
      </c>
    </row>
    <row r="5" customFormat="false" ht="15" hidden="false" customHeight="false" outlineLevel="0" collapsed="false">
      <c r="A5" s="5" t="s">
        <v>30</v>
      </c>
      <c r="B5" s="5" t="s">
        <v>31</v>
      </c>
      <c r="C5" s="5" t="n">
        <f aca="false">COUNTIFS(Offres!$B$2:$B$155,$B5,Offres!$C$2:$C$155,$A5)</f>
        <v>1</v>
      </c>
      <c r="D5" s="6" t="n">
        <f aca="false">IFERROR(_xlfn.MINIFS(Offres!$M$2:$M$155,Offres!$B$2:$B$155,$B5,Offres!$C$2:$C$155,$A5),0)</f>
        <v>919.88</v>
      </c>
      <c r="E5" s="6" t="n">
        <f aca="false">IFERROR(AVERAGEIFS(Offres!$S$2:$S$155,Offres!$B$2:$B$155,$B5,Offres!$C$2:$C$155,$A5),0)</f>
        <v>919.88</v>
      </c>
      <c r="F5" s="6" t="n">
        <f aca="false">IFERROR(_xlfn.MAXIFS(Offres!$N$2:$N$155,Offres!$B$2:$B$155,$B5,Offres!$C$2:$C$155,$A5),0)</f>
        <v>919.88</v>
      </c>
      <c r="G5" s="6" t="n">
        <f aca="false">IFERROR(_xlfn.MINIFS(Offres!$O$2:$O$155,Offres!$B$2:$B$155,$B5,Offres!$C$2:$C$155,$A5),0)</f>
        <v>961.303588376433</v>
      </c>
      <c r="H5" s="6" t="n">
        <f aca="false">IFERROR(AVERAGEIFS(Offres!$T$2:$T$155,Offres!$B$2:$B$155,$B5,Offres!$C$2:$C$155,$A5),0)</f>
        <v>961.303588376433</v>
      </c>
      <c r="I5" s="6" t="n">
        <f aca="false">IFERROR(_xlfn.MAXIFS(Offres!$P$2:$P$155,Offres!$B$2:$B$155,$B5,Offres!$C$2:$C$155,$A5),0)</f>
        <v>961.303588376433</v>
      </c>
      <c r="J5" s="6" t="n">
        <f aca="false">IFERROR(_xlfn.MINIFS(Offres!$Q$2:$Q$155,Offres!$B$2:$B$155,$B5,Offres!$C$2:$C$155,$A5),0)</f>
        <v>1002.72717675287</v>
      </c>
      <c r="K5" s="6" t="n">
        <f aca="false">IFERROR(AVERAGEIFS(Offres!$U$2:$U$155,Offres!$B$2:$B$155,$B5,Offres!$C$2:$C$155,$A5),0)</f>
        <v>1002.72717675287</v>
      </c>
      <c r="L5" s="6" t="n">
        <f aca="false">IFERROR(_xlfn.MAXIFS(Offres!$R$2:$R$155,Offres!$B$2:$B$155,$B5,Offres!$C$2:$C$155,$A5),0)</f>
        <v>1002.72717675287</v>
      </c>
    </row>
    <row r="6" customFormat="false" ht="15" hidden="false" customHeight="false" outlineLevel="0" collapsed="false">
      <c r="A6" s="7" t="s">
        <v>30</v>
      </c>
      <c r="B6" s="7" t="s">
        <v>32</v>
      </c>
      <c r="C6" s="7" t="n">
        <f aca="false">COUNTIFS(Offres!$B$2:$B$155,$B6,Offres!$C$2:$C$155,$A6)</f>
        <v>16</v>
      </c>
      <c r="D6" s="8" t="n">
        <f aca="false">IFERROR(_xlfn.MINIFS(Offres!$M$2:$M$155,Offres!$B$2:$B$155,$B6,Offres!$C$2:$C$155,$A6),0)</f>
        <v>32.28</v>
      </c>
      <c r="E6" s="8" t="n">
        <f aca="false">IFERROR(AVERAGEIFS(Offres!$S$2:$S$155,Offres!$B$2:$B$155,$B6,Offres!$C$2:$C$155,$A6),0)</f>
        <v>92.0933624366836</v>
      </c>
      <c r="F6" s="8" t="n">
        <f aca="false">IFERROR(_xlfn.MAXIFS(Offres!$N$2:$N$155,Offres!$B$2:$B$155,$B6,Offres!$C$2:$C$155,$A6),0)</f>
        <v>168</v>
      </c>
      <c r="G6" s="8" t="n">
        <f aca="false">IFERROR(_xlfn.MINIFS(Offres!$O$2:$O$155,Offres!$B$2:$B$155,$B6,Offres!$C$2:$C$155,$A6),0)</f>
        <v>76.103588376433</v>
      </c>
      <c r="H6" s="8" t="n">
        <f aca="false">IFERROR(AVERAGEIFS(Offres!$T$2:$T$155,Offres!$B$2:$B$155,$B6,Offres!$C$2:$C$155,$A6),0)</f>
        <v>196.316010536079</v>
      </c>
      <c r="I6" s="8" t="n">
        <f aca="false">IFERROR(_xlfn.MAXIFS(Offres!$P$2:$P$155,Offres!$B$2:$B$155,$B6,Offres!$C$2:$C$155,$A6),0)</f>
        <v>348.458333333333</v>
      </c>
      <c r="J6" s="8" t="n">
        <f aca="false">IFERROR(_xlfn.MINIFS(Offres!$Q$2:$Q$155,Offres!$B$2:$B$155,$B6,Offres!$C$2:$C$155,$A6),0)</f>
        <v>119.927176752866</v>
      </c>
      <c r="K6" s="8" t="n">
        <f aca="false">IFERROR(AVERAGEIFS(Offres!$U$2:$U$155,Offres!$B$2:$B$155,$B6,Offres!$C$2:$C$155,$A6),0)</f>
        <v>300.538658635475</v>
      </c>
      <c r="L6" s="8" t="n">
        <f aca="false">IFERROR(_xlfn.MAXIFS(Offres!$R$2:$R$155,Offres!$B$2:$B$155,$B6,Offres!$C$2:$C$155,$A6),0)</f>
        <v>528.916666666667</v>
      </c>
    </row>
    <row r="7" customFormat="false" ht="15" hidden="false" customHeight="false" outlineLevel="0" collapsed="false">
      <c r="A7" s="7" t="s">
        <v>30</v>
      </c>
      <c r="B7" s="7" t="s">
        <v>33</v>
      </c>
      <c r="C7" s="7" t="n">
        <f aca="false">COUNTIFS(Offres!$B$2:$B$155,$B7,Offres!$C$2:$C$155,$A7)</f>
        <v>17</v>
      </c>
      <c r="D7" s="8" t="n">
        <f aca="false">IFERROR(_xlfn.MINIFS(Offres!$M$2:$M$155,Offres!$B$2:$B$155,$B7,Offres!$C$2:$C$155,$A7),0)</f>
        <v>340.423588376433</v>
      </c>
      <c r="E7" s="8" t="n">
        <f aca="false">IFERROR(AVERAGEIFS(Offres!$S$2:$S$155,Offres!$B$2:$B$155,$B7,Offres!$C$2:$C$155,$A7),0)</f>
        <v>897.086695626264</v>
      </c>
      <c r="F7" s="8" t="n">
        <f aca="false">IFERROR(_xlfn.MAXIFS(Offres!$N$2:$N$155,Offres!$B$2:$B$155,$B7,Offres!$C$2:$C$155,$A7),0)</f>
        <v>2541.42358837643</v>
      </c>
      <c r="G7" s="8" t="n">
        <f aca="false">IFERROR(_xlfn.MINIFS(Offres!$O$2:$O$155,Offres!$B$2:$B$155,$B7,Offres!$C$2:$C$155,$A7),0)</f>
        <v>381.847176752866</v>
      </c>
      <c r="H7" s="8" t="n">
        <f aca="false">IFERROR(AVERAGEIFS(Offres!$T$2:$T$155,Offres!$B$2:$B$155,$B7,Offres!$C$2:$C$155,$A7),0)</f>
        <v>954.614567723117</v>
      </c>
      <c r="I7" s="8" t="n">
        <f aca="false">IFERROR(_xlfn.MAXIFS(Offres!$P$2:$P$155,Offres!$B$2:$B$155,$B7,Offres!$C$2:$C$155,$A7),0)</f>
        <v>2582.84717675287</v>
      </c>
      <c r="J7" s="8" t="n">
        <f aca="false">IFERROR(_xlfn.MINIFS(Offres!$Q$2:$Q$155,Offres!$B$2:$B$155,$B7,Offres!$C$2:$C$155,$A7),0)</f>
        <v>423.270765129299</v>
      </c>
      <c r="K7" s="8" t="n">
        <f aca="false">IFERROR(AVERAGEIFS(Offres!$U$2:$U$155,Offres!$B$2:$B$155,$B7,Offres!$C$2:$C$155,$A7),0)</f>
        <v>1012.14243981997</v>
      </c>
      <c r="L7" s="8" t="n">
        <f aca="false">IFERROR(_xlfn.MAXIFS(Offres!$R$2:$R$155,Offres!$B$2:$B$155,$B7,Offres!$C$2:$C$155,$A7),0)</f>
        <v>2624.2707651293</v>
      </c>
    </row>
    <row r="8" customFormat="false" ht="15" hidden="false" customHeight="false" outlineLevel="0" collapsed="false">
      <c r="A8" s="7" t="s">
        <v>30</v>
      </c>
      <c r="B8" s="7" t="s">
        <v>34</v>
      </c>
      <c r="C8" s="7" t="n">
        <f aca="false">COUNTIFS(Offres!$B$2:$B$155,$B8,Offres!$C$2:$C$155,$A8)</f>
        <v>14</v>
      </c>
      <c r="D8" s="8" t="n">
        <f aca="false">IFERROR(_xlfn.MINIFS(Offres!$M$2:$M$155,Offres!$B$2:$B$155,$B8,Offres!$C$2:$C$155,$A8),0)</f>
        <v>418.8</v>
      </c>
      <c r="E8" s="8" t="n">
        <f aca="false">IFERROR(AVERAGEIFS(Offres!$S$2:$S$155,Offres!$B$2:$B$155,$B8,Offres!$C$2:$C$155,$A8),0)</f>
        <v>1050.91857142857</v>
      </c>
      <c r="F8" s="8" t="n">
        <f aca="false">IFERROR(_xlfn.MAXIFS(Offres!$N$2:$N$155,Offres!$B$2:$B$155,$B8,Offres!$C$2:$C$155,$A8),0)</f>
        <v>1980</v>
      </c>
      <c r="G8" s="8" t="n">
        <f aca="false">IFERROR(_xlfn.MINIFS(Offres!$O$2:$O$155,Offres!$B$2:$B$155,$B8,Offres!$C$2:$C$155,$A8),0)</f>
        <v>818.76</v>
      </c>
      <c r="H8" s="8" t="n">
        <f aca="false">IFERROR(AVERAGEIFS(Offres!$T$2:$T$155,Offres!$B$2:$B$155,$B8,Offres!$C$2:$C$155,$A8),0)</f>
        <v>1817.73</v>
      </c>
      <c r="I8" s="8" t="n">
        <f aca="false">IFERROR(_xlfn.MAXIFS(Offres!$P$2:$P$155,Offres!$B$2:$B$155,$B8,Offres!$C$2:$C$155,$A8),0)</f>
        <v>2775</v>
      </c>
      <c r="J8" s="8" t="n">
        <f aca="false">IFERROR(_xlfn.MINIFS(Offres!$Q$2:$Q$155,Offres!$B$2:$B$155,$B8,Offres!$C$2:$C$155,$A8),0)</f>
        <v>1178.64</v>
      </c>
      <c r="K8" s="8" t="n">
        <f aca="false">IFERROR(AVERAGEIFS(Offres!$U$2:$U$155,Offres!$B$2:$B$155,$B8,Offres!$C$2:$C$155,$A8),0)</f>
        <v>2463.82714285714</v>
      </c>
      <c r="L8" s="8" t="n">
        <f aca="false">IFERROR(_xlfn.MAXIFS(Offres!$R$2:$R$155,Offres!$B$2:$B$155,$B8,Offres!$C$2:$C$155,$A8),0)</f>
        <v>3963</v>
      </c>
    </row>
    <row r="9" customFormat="false" ht="15" hidden="false" customHeight="false" outlineLevel="0" collapsed="false">
      <c r="A9" s="7" t="s">
        <v>30</v>
      </c>
      <c r="B9" s="7" t="s">
        <v>35</v>
      </c>
      <c r="C9" s="7" t="n">
        <f aca="false">COUNTIFS(Offres!$B$2:$B$155,$B9,Offres!$C$2:$C$155,$A9)</f>
        <v>5</v>
      </c>
      <c r="D9" s="8" t="n">
        <f aca="false">IFERROR(_xlfn.MINIFS(Offres!$M$2:$M$155,Offres!$B$2:$B$155,$B9,Offres!$C$2:$C$155,$A9),0)</f>
        <v>1500</v>
      </c>
      <c r="E9" s="8" t="n">
        <f aca="false">IFERROR(AVERAGEIFS(Offres!$S$2:$S$155,Offres!$B$2:$B$155,$B9,Offres!$C$2:$C$155,$A9),0)</f>
        <v>2031.13887070115</v>
      </c>
      <c r="F9" s="8" t="n">
        <f aca="false">IFERROR(_xlfn.MAXIFS(Offres!$N$2:$N$155,Offres!$B$2:$B$155,$B9,Offres!$C$2:$C$155,$A9),0)</f>
        <v>3041.42358837643</v>
      </c>
      <c r="G9" s="8" t="n">
        <f aca="false">IFERROR(_xlfn.MINIFS(Offres!$O$2:$O$155,Offres!$B$2:$B$155,$B9,Offres!$C$2:$C$155,$A9),0)</f>
        <v>1541.42358837643</v>
      </c>
      <c r="H9" s="8" t="n">
        <f aca="false">IFERROR(AVERAGEIFS(Offres!$T$2:$T$155,Offres!$B$2:$B$155,$B9,Offres!$C$2:$C$155,$A9),0)</f>
        <v>2072.56245907758</v>
      </c>
      <c r="I9" s="8" t="n">
        <f aca="false">IFERROR(_xlfn.MAXIFS(Offres!$P$2:$P$155,Offres!$B$2:$B$155,$B9,Offres!$C$2:$C$155,$A9),0)</f>
        <v>3082.84717675287</v>
      </c>
      <c r="J9" s="8" t="n">
        <f aca="false">IFERROR(_xlfn.MINIFS(Offres!$Q$2:$Q$155,Offres!$B$2:$B$155,$B9,Offres!$C$2:$C$155,$A9),0)</f>
        <v>1582.84717675287</v>
      </c>
      <c r="K9" s="8" t="n">
        <f aca="false">IFERROR(AVERAGEIFS(Offres!$U$2:$U$155,Offres!$B$2:$B$155,$B9,Offres!$C$2:$C$155,$A9),0)</f>
        <v>2113.98604745401</v>
      </c>
      <c r="L9" s="8" t="n">
        <f aca="false">IFERROR(_xlfn.MAXIFS(Offres!$R$2:$R$155,Offres!$B$2:$B$155,$B9,Offres!$C$2:$C$155,$A9),0)</f>
        <v>3124.2707651293</v>
      </c>
    </row>
    <row r="11" customFormat="false" ht="15" hidden="false" customHeight="false" outlineLevel="0" collapsed="false">
      <c r="A11" s="5" t="s">
        <v>36</v>
      </c>
      <c r="B11" s="5" t="s">
        <v>31</v>
      </c>
      <c r="C11" s="5" t="n">
        <f aca="false">COUNTIFS(Offres!$B$2:$B$155,$B11,Offres!$C$2:$C$155,$A11)</f>
        <v>1</v>
      </c>
      <c r="D11" s="6" t="n">
        <f aca="false">IFERROR(_xlfn.MINIFS(Offres!$M$2:$M$155,Offres!$B$2:$B$155,$B11,Offres!$C$2:$C$155,$A11),0)</f>
        <v>2086.47557451346</v>
      </c>
      <c r="E11" s="6" t="n">
        <f aca="false">IFERROR(AVERAGEIFS(Offres!$S$2:$S$155,Offres!$B$2:$B$155,$B11,Offres!$C$2:$C$155,$A11),0)</f>
        <v>2086.47557451346</v>
      </c>
      <c r="F11" s="6" t="n">
        <f aca="false">IFERROR(_xlfn.MAXIFS(Offres!$N$2:$N$155,Offres!$B$2:$B$155,$B11,Offres!$C$2:$C$155,$A11),0)</f>
        <v>2086.47557451346</v>
      </c>
      <c r="G11" s="6" t="n">
        <f aca="false">IFERROR(_xlfn.MINIFS(Offres!$O$2:$O$155,Offres!$B$2:$B$155,$B11,Offres!$C$2:$C$155,$A11),0)</f>
        <v>2394.49473740336</v>
      </c>
      <c r="H11" s="6" t="n">
        <f aca="false">IFERROR(AVERAGEIFS(Offres!$T$2:$T$155,Offres!$B$2:$B$155,$B11,Offres!$C$2:$C$155,$A11),0)</f>
        <v>2394.49473740336</v>
      </c>
      <c r="I11" s="6" t="n">
        <f aca="false">IFERROR(_xlfn.MAXIFS(Offres!$P$2:$P$155,Offres!$B$2:$B$155,$B11,Offres!$C$2:$C$155,$A11),0)</f>
        <v>2394.49473740336</v>
      </c>
      <c r="J11" s="6" t="n">
        <f aca="false">IFERROR(_xlfn.MINIFS(Offres!$Q$2:$Q$155,Offres!$B$2:$B$155,$B11,Offres!$C$2:$C$155,$A11),0)</f>
        <v>2702.51390029326</v>
      </c>
      <c r="K11" s="6" t="n">
        <f aca="false">IFERROR(AVERAGEIFS(Offres!$U$2:$U$155,Offres!$B$2:$B$155,$B11,Offres!$C$2:$C$155,$A11),0)</f>
        <v>2702.51390029326</v>
      </c>
      <c r="L11" s="6" t="n">
        <f aca="false">IFERROR(_xlfn.MAXIFS(Offres!$R$2:$R$155,Offres!$B$2:$B$155,$B11,Offres!$C$2:$C$155,$A11),0)</f>
        <v>2702.51390029326</v>
      </c>
    </row>
    <row r="12" customFormat="false" ht="15" hidden="false" customHeight="false" outlineLevel="0" collapsed="false">
      <c r="A12" s="7" t="s">
        <v>36</v>
      </c>
      <c r="B12" s="7" t="s">
        <v>32</v>
      </c>
      <c r="C12" s="7" t="n">
        <f aca="false">COUNTIFS(Offres!$B$2:$B$155,$B12,Offres!$C$2:$C$155,$A12)</f>
        <v>16</v>
      </c>
      <c r="D12" s="8" t="n">
        <f aca="false">IFERROR(_xlfn.MINIFS(Offres!$M$2:$M$155,Offres!$B$2:$B$155,$B12,Offres!$C$2:$C$155,$A12),0)</f>
        <v>32.28</v>
      </c>
      <c r="E12" s="8" t="n">
        <f aca="false">IFERROR(AVERAGEIFS(Offres!$S$2:$S$155,Offres!$B$2:$B$155,$B12,Offres!$C$2:$C$155,$A12),0)</f>
        <v>150.104359504132</v>
      </c>
      <c r="F12" s="8" t="n">
        <f aca="false">IFERROR(_xlfn.MAXIFS(Offres!$N$2:$N$155,Offres!$B$2:$B$155,$B12,Offres!$C$2:$C$155,$A12),0)</f>
        <v>300</v>
      </c>
      <c r="G12" s="8" t="n">
        <f aca="false">IFERROR(_xlfn.MINIFS(Offres!$O$2:$O$155,Offres!$B$2:$B$155,$B12,Offres!$C$2:$C$155,$A12),0)</f>
        <v>76.103588376433</v>
      </c>
      <c r="H12" s="8" t="n">
        <f aca="false">IFERROR(AVERAGEIFS(Offres!$T$2:$T$155,Offres!$B$2:$B$155,$B12,Offres!$C$2:$C$155,$A12),0)</f>
        <v>312.338004670977</v>
      </c>
      <c r="I12" s="8" t="n">
        <f aca="false">IFERROR(_xlfn.MAXIFS(Offres!$P$2:$P$155,Offres!$B$2:$B$155,$B12,Offres!$C$2:$C$155,$A12),0)</f>
        <v>612.458333333333</v>
      </c>
      <c r="J12" s="8" t="n">
        <f aca="false">IFERROR(_xlfn.MINIFS(Offres!$Q$2:$Q$155,Offres!$B$2:$B$155,$B12,Offres!$C$2:$C$155,$A12),0)</f>
        <v>119.927176752866</v>
      </c>
      <c r="K12" s="8" t="n">
        <f aca="false">IFERROR(AVERAGEIFS(Offres!$U$2:$U$155,Offres!$B$2:$B$155,$B12,Offres!$C$2:$C$155,$A12),0)</f>
        <v>474.571649837821</v>
      </c>
      <c r="L12" s="8" t="n">
        <f aca="false">IFERROR(_xlfn.MAXIFS(Offres!$R$2:$R$155,Offres!$B$2:$B$155,$B12,Offres!$C$2:$C$155,$A12),0)</f>
        <v>924.916666666667</v>
      </c>
    </row>
    <row r="13" customFormat="false" ht="15" hidden="false" customHeight="false" outlineLevel="0" collapsed="false">
      <c r="A13" s="7" t="s">
        <v>36</v>
      </c>
      <c r="B13" s="7" t="s">
        <v>33</v>
      </c>
      <c r="C13" s="7" t="n">
        <f aca="false">COUNTIFS(Offres!$B$2:$B$155,$B13,Offres!$C$2:$C$155,$A13)</f>
        <v>12</v>
      </c>
      <c r="D13" s="8" t="n">
        <f aca="false">IFERROR(_xlfn.MINIFS(Offres!$M$2:$M$155,Offres!$B$2:$B$155,$B13,Offres!$C$2:$C$155,$A13),0)</f>
        <v>631.423588376433</v>
      </c>
      <c r="E13" s="8" t="n">
        <f aca="false">IFERROR(AVERAGEIFS(Offres!$S$2:$S$155,Offres!$B$2:$B$155,$B13,Offres!$C$2:$C$155,$A13),0)</f>
        <v>1487.70269128232</v>
      </c>
      <c r="F13" s="8" t="n">
        <f aca="false">IFERROR(_xlfn.MAXIFS(Offres!$N$2:$N$155,Offres!$B$2:$B$155,$B13,Offres!$C$2:$C$155,$A13),0)</f>
        <v>4041.42358837643</v>
      </c>
      <c r="G13" s="8" t="n">
        <f aca="false">IFERROR(_xlfn.MINIFS(Offres!$O$2:$O$155,Offres!$B$2:$B$155,$B13,Offres!$C$2:$C$155,$A13),0)</f>
        <v>672.847176752866</v>
      </c>
      <c r="H13" s="8" t="n">
        <f aca="false">IFERROR(AVERAGEIFS(Offres!$T$2:$T$155,Offres!$B$2:$B$155,$B13,Offres!$C$2:$C$155,$A13),0)</f>
        <v>1556.65538256465</v>
      </c>
      <c r="I13" s="8" t="n">
        <f aca="false">IFERROR(_xlfn.MAXIFS(Offres!$P$2:$P$155,Offres!$B$2:$B$155,$B13,Offres!$C$2:$C$155,$A13),0)</f>
        <v>4082.84717675287</v>
      </c>
      <c r="J13" s="8" t="n">
        <f aca="false">IFERROR(_xlfn.MINIFS(Offres!$Q$2:$Q$155,Offres!$B$2:$B$155,$B13,Offres!$C$2:$C$155,$A13),0)</f>
        <v>714.270765129299</v>
      </c>
      <c r="K13" s="8" t="n">
        <f aca="false">IFERROR(AVERAGEIFS(Offres!$U$2:$U$155,Offres!$B$2:$B$155,$B13,Offres!$C$2:$C$155,$A13),0)</f>
        <v>1625.60807384697</v>
      </c>
      <c r="L13" s="8" t="n">
        <f aca="false">IFERROR(_xlfn.MAXIFS(Offres!$R$2:$R$155,Offres!$B$2:$B$155,$B13,Offres!$C$2:$C$155,$A13),0)</f>
        <v>4124.2707651293</v>
      </c>
    </row>
    <row r="14" customFormat="false" ht="15" hidden="false" customHeight="false" outlineLevel="0" collapsed="false">
      <c r="A14" s="7" t="s">
        <v>36</v>
      </c>
      <c r="B14" s="7" t="s">
        <v>34</v>
      </c>
      <c r="C14" s="7" t="n">
        <f aca="false">COUNTIFS(Offres!$B$2:$B$155,$B14,Offres!$C$2:$C$155,$A14)</f>
        <v>13</v>
      </c>
      <c r="D14" s="8" t="n">
        <f aca="false">IFERROR(_xlfn.MINIFS(Offres!$M$2:$M$155,Offres!$B$2:$B$155,$B14,Offres!$C$2:$C$155,$A14),0)</f>
        <v>418.8</v>
      </c>
      <c r="E14" s="8" t="n">
        <f aca="false">IFERROR(AVERAGEIFS(Offres!$S$2:$S$155,Offres!$B$2:$B$155,$B14,Offres!$C$2:$C$155,$A14),0)</f>
        <v>1273.88307692308</v>
      </c>
      <c r="F14" s="8" t="n">
        <f aca="false">IFERROR(_xlfn.MAXIFS(Offres!$N$2:$N$155,Offres!$B$2:$B$155,$B14,Offres!$C$2:$C$155,$A14),0)</f>
        <v>2370</v>
      </c>
      <c r="G14" s="8" t="n">
        <f aca="false">IFERROR(_xlfn.MINIFS(Offres!$O$2:$O$155,Offres!$B$2:$B$155,$B14,Offres!$C$2:$C$155,$A14),0)</f>
        <v>837.6</v>
      </c>
      <c r="H14" s="8" t="n">
        <f aca="false">IFERROR(AVERAGEIFS(Offres!$T$2:$T$155,Offres!$B$2:$B$155,$B14,Offres!$C$2:$C$155,$A14),0)</f>
        <v>2227.07384615385</v>
      </c>
      <c r="I14" s="8" t="n">
        <f aca="false">IFERROR(_xlfn.MAXIFS(Offres!$P$2:$P$155,Offres!$B$2:$B$155,$B14,Offres!$C$2:$C$155,$A14),0)</f>
        <v>4050</v>
      </c>
      <c r="J14" s="8" t="n">
        <f aca="false">IFERROR(_xlfn.MINIFS(Offres!$Q$2:$Q$155,Offres!$B$2:$B$155,$B14,Offres!$C$2:$C$155,$A14),0)</f>
        <v>1256.4</v>
      </c>
      <c r="K14" s="8" t="n">
        <f aca="false">IFERROR(AVERAGEIFS(Offres!$U$2:$U$155,Offres!$B$2:$B$155,$B14,Offres!$C$2:$C$155,$A14),0)</f>
        <v>3050.26461538462</v>
      </c>
      <c r="L14" s="8" t="n">
        <f aca="false">IFERROR(_xlfn.MAXIFS(Offres!$R$2:$R$155,Offres!$B$2:$B$155,$B14,Offres!$C$2:$C$155,$A14),0)</f>
        <v>5730</v>
      </c>
    </row>
    <row r="15" customFormat="false" ht="15" hidden="false" customHeight="false" outlineLevel="0" collapsed="false">
      <c r="A15" s="7" t="s">
        <v>36</v>
      </c>
      <c r="B15" s="7" t="s">
        <v>35</v>
      </c>
      <c r="C15" s="7" t="n">
        <f aca="false">COUNTIFS(Offres!$B$2:$B$155,$B15,Offres!$C$2:$C$155,$A15)</f>
        <v>19</v>
      </c>
      <c r="D15" s="8" t="n">
        <f aca="false">IFERROR(_xlfn.MINIFS(Offres!$M$2:$M$155,Offres!$B$2:$B$155,$B15,Offres!$C$2:$C$155,$A15),0)</f>
        <v>1541.42358837643</v>
      </c>
      <c r="E15" s="8" t="n">
        <f aca="false">IFERROR(AVERAGEIFS(Offres!$S$2:$S$155,Offres!$B$2:$B$155,$B15,Offres!$C$2:$C$155,$A15),0)</f>
        <v>4844.0551673238</v>
      </c>
      <c r="F15" s="8" t="n">
        <f aca="false">IFERROR(_xlfn.MAXIFS(Offres!$N$2:$N$155,Offres!$B$2:$B$155,$B15,Offres!$C$2:$C$155,$A15),0)</f>
        <v>20041.4235883764</v>
      </c>
      <c r="G15" s="8" t="n">
        <f aca="false">IFERROR(_xlfn.MINIFS(Offres!$O$2:$O$155,Offres!$B$2:$B$155,$B15,Offres!$C$2:$C$155,$A15),0)</f>
        <v>1582.84717675287</v>
      </c>
      <c r="H15" s="8" t="n">
        <f aca="false">IFERROR(AVERAGEIFS(Offres!$T$2:$T$155,Offres!$B$2:$B$155,$B15,Offres!$C$2:$C$155,$A15),0)</f>
        <v>4885.47875570024</v>
      </c>
      <c r="I15" s="8" t="n">
        <f aca="false">IFERROR(_xlfn.MAXIFS(Offres!$P$2:$P$155,Offres!$B$2:$B$155,$B15,Offres!$C$2:$C$155,$A15),0)</f>
        <v>20082.8471767529</v>
      </c>
      <c r="J15" s="8" t="n">
        <f aca="false">IFERROR(_xlfn.MINIFS(Offres!$Q$2:$Q$155,Offres!$B$2:$B$155,$B15,Offres!$C$2:$C$155,$A15),0)</f>
        <v>1624.2707651293</v>
      </c>
      <c r="K15" s="8" t="n">
        <f aca="false">IFERROR(AVERAGEIFS(Offres!$U$2:$U$155,Offres!$B$2:$B$155,$B15,Offres!$C$2:$C$155,$A15),0)</f>
        <v>4926.90234407667</v>
      </c>
      <c r="L15" s="8" t="n">
        <f aca="false">IFERROR(_xlfn.MAXIFS(Offres!$R$2:$R$155,Offres!$B$2:$B$155,$B15,Offres!$C$2:$C$155,$A15),0)</f>
        <v>20124.2707651293</v>
      </c>
    </row>
    <row r="17" customFormat="false" ht="15" hidden="false" customHeight="false" outlineLevel="0" collapsed="false">
      <c r="A17" s="5" t="s">
        <v>37</v>
      </c>
      <c r="B17" s="5" t="s">
        <v>31</v>
      </c>
      <c r="C17" s="5" t="n">
        <f aca="false">COUNTIFS(Offres!$B$2:$B$155,$B17,Offres!$C$2:$C$155,$A17)</f>
        <v>1</v>
      </c>
      <c r="D17" s="6" t="n">
        <f aca="false">IFERROR(_xlfn.MINIFS(Offres!$M$2:$M$155,Offres!$B$2:$B$155,$B17,Offres!$C$2:$C$155,$A17),0)</f>
        <v>4686.47557451346</v>
      </c>
      <c r="E17" s="6" t="n">
        <f aca="false">IFERROR(AVERAGEIFS(Offres!$S$2:$S$155,Offres!$B$2:$B$155,$B17,Offres!$C$2:$C$155,$A17),0)</f>
        <v>4686.47557451346</v>
      </c>
      <c r="F17" s="6" t="n">
        <f aca="false">IFERROR(_xlfn.MAXIFS(Offres!$N$2:$N$155,Offres!$B$2:$B$155,$B17,Offres!$C$2:$C$155,$A17),0)</f>
        <v>4686.47557451346</v>
      </c>
      <c r="G17" s="6" t="n">
        <f aca="false">IFERROR(_xlfn.MINIFS(Offres!$O$2:$O$155,Offres!$B$2:$B$155,$B17,Offres!$C$2:$C$155,$A17),0)</f>
        <v>4994.49473740336</v>
      </c>
      <c r="H17" s="6" t="n">
        <f aca="false">IFERROR(AVERAGEIFS(Offres!$T$2:$T$155,Offres!$B$2:$B$155,$B17,Offres!$C$2:$C$155,$A17),0)</f>
        <v>4994.49473740336</v>
      </c>
      <c r="I17" s="6" t="n">
        <f aca="false">IFERROR(_xlfn.MAXIFS(Offres!$P$2:$P$155,Offres!$B$2:$B$155,$B17,Offres!$C$2:$C$155,$A17),0)</f>
        <v>4994.49473740336</v>
      </c>
      <c r="J17" s="6" t="n">
        <f aca="false">IFERROR(_xlfn.MINIFS(Offres!$Q$2:$Q$155,Offres!$B$2:$B$155,$B17,Offres!$C$2:$C$155,$A17),0)</f>
        <v>5302.51390029326</v>
      </c>
      <c r="K17" s="6" t="n">
        <f aca="false">IFERROR(AVERAGEIFS(Offres!$U$2:$U$155,Offres!$B$2:$B$155,$B17,Offres!$C$2:$C$155,$A17),0)</f>
        <v>5302.51390029326</v>
      </c>
      <c r="L17" s="6" t="n">
        <f aca="false">IFERROR(_xlfn.MAXIFS(Offres!$R$2:$R$155,Offres!$B$2:$B$155,$B17,Offres!$C$2:$C$155,$A17),0)</f>
        <v>5302.51390029326</v>
      </c>
    </row>
    <row r="18" customFormat="false" ht="15" hidden="false" customHeight="false" outlineLevel="0" collapsed="false">
      <c r="A18" s="7" t="s">
        <v>37</v>
      </c>
      <c r="B18" s="7" t="s">
        <v>32</v>
      </c>
      <c r="C18" s="7" t="n">
        <f aca="false">COUNTIFS(Offres!$B$2:$B$155,$B18,Offres!$C$2:$C$155,$A18)</f>
        <v>15</v>
      </c>
      <c r="D18" s="8" t="n">
        <f aca="false">IFERROR(_xlfn.MINIFS(Offres!$M$2:$M$155,Offres!$B$2:$B$155,$B18,Offres!$C$2:$C$155,$A18),0)</f>
        <v>32.28</v>
      </c>
      <c r="E18" s="8" t="n">
        <f aca="false">IFERROR(AVERAGEIFS(Offres!$S$2:$S$155,Offres!$B$2:$B$155,$B18,Offres!$C$2:$C$155,$A18),0)</f>
        <v>372.426996534258</v>
      </c>
      <c r="F18" s="8" t="n">
        <f aca="false">IFERROR(_xlfn.MAXIFS(Offres!$N$2:$N$155,Offres!$B$2:$B$155,$B18,Offres!$C$2:$C$155,$A18),0)</f>
        <v>1210.34358837643</v>
      </c>
      <c r="G18" s="8" t="n">
        <f aca="false">IFERROR(_xlfn.MINIFS(Offres!$O$2:$O$155,Offres!$B$2:$B$155,$B18,Offres!$C$2:$C$155,$A18),0)</f>
        <v>76.103588376433</v>
      </c>
      <c r="H18" s="8" t="n">
        <f aca="false">IFERROR(AVERAGEIFS(Offres!$T$2:$T$155,Offres!$B$2:$B$155,$B18,Offres!$C$2:$C$155,$A18),0)</f>
        <v>753.944034983264</v>
      </c>
      <c r="I18" s="8" t="n">
        <f aca="false">IFERROR(_xlfn.MAXIFS(Offres!$P$2:$P$155,Offres!$B$2:$B$155,$B18,Offres!$C$2:$C$155,$A18),0)</f>
        <v>2420.68717675287</v>
      </c>
      <c r="J18" s="8" t="n">
        <f aca="false">IFERROR(_xlfn.MINIFS(Offres!$Q$2:$Q$155,Offres!$B$2:$B$155,$B18,Offres!$C$2:$C$155,$A18),0)</f>
        <v>119.927176752866</v>
      </c>
      <c r="K18" s="8" t="n">
        <f aca="false">IFERROR(AVERAGEIFS(Offres!$U$2:$U$155,Offres!$B$2:$B$155,$B18,Offres!$C$2:$C$155,$A18),0)</f>
        <v>1135.46107343227</v>
      </c>
      <c r="L18" s="8" t="n">
        <f aca="false">IFERROR(_xlfn.MAXIFS(Offres!$R$2:$R$155,Offres!$B$2:$B$155,$B18,Offres!$C$2:$C$155,$A18),0)</f>
        <v>3631.0307651293</v>
      </c>
    </row>
    <row r="19" customFormat="false" ht="15" hidden="false" customHeight="false" outlineLevel="0" collapsed="false">
      <c r="A19" s="7" t="s">
        <v>37</v>
      </c>
      <c r="B19" s="7" t="s">
        <v>33</v>
      </c>
      <c r="C19" s="7" t="n">
        <f aca="false">COUNTIFS(Offres!$B$2:$B$155,$B19,Offres!$C$2:$C$155,$A19)</f>
        <v>8</v>
      </c>
      <c r="D19" s="8" t="n">
        <f aca="false">IFERROR(_xlfn.MINIFS(Offres!$M$2:$M$155,Offres!$B$2:$B$155,$B19,Offres!$C$2:$C$155,$A19),0)</f>
        <v>1269.79</v>
      </c>
      <c r="E19" s="8" t="n">
        <f aca="false">IFERROR(AVERAGEIFS(Offres!$S$2:$S$155,Offres!$B$2:$B$155,$B19,Offres!$C$2:$C$155,$A19),0)</f>
        <v>2605.19125</v>
      </c>
      <c r="F19" s="8" t="n">
        <f aca="false">IFERROR(_xlfn.MAXIFS(Offres!$N$2:$N$155,Offres!$B$2:$B$155,$B19,Offres!$C$2:$C$155,$A19),0)</f>
        <v>8079.79</v>
      </c>
      <c r="G19" s="8" t="n">
        <f aca="false">IFERROR(_xlfn.MINIFS(Offres!$O$2:$O$155,Offres!$B$2:$B$155,$B19,Offres!$C$2:$C$155,$A19),0)</f>
        <v>1349.58</v>
      </c>
      <c r="H19" s="8" t="n">
        <f aca="false">IFERROR(AVERAGEIFS(Offres!$T$2:$T$155,Offres!$B$2:$B$155,$B19,Offres!$C$2:$C$155,$A19),0)</f>
        <v>2687.2575</v>
      </c>
      <c r="I19" s="8" t="n">
        <f aca="false">IFERROR(_xlfn.MAXIFS(Offres!$P$2:$P$155,Offres!$B$2:$B$155,$B19,Offres!$C$2:$C$155,$A19),0)</f>
        <v>8159.58</v>
      </c>
      <c r="J19" s="8" t="n">
        <f aca="false">IFERROR(_xlfn.MINIFS(Offres!$Q$2:$Q$155,Offres!$B$2:$B$155,$B19,Offres!$C$2:$C$155,$A19),0)</f>
        <v>1429.37</v>
      </c>
      <c r="K19" s="8" t="n">
        <f aca="false">IFERROR(AVERAGEIFS(Offres!$U$2:$U$155,Offres!$B$2:$B$155,$B19,Offres!$C$2:$C$155,$A19),0)</f>
        <v>2769.32375</v>
      </c>
      <c r="L19" s="8" t="n">
        <f aca="false">IFERROR(_xlfn.MAXIFS(Offres!$R$2:$R$155,Offres!$B$2:$B$155,$B19,Offres!$C$2:$C$155,$A19),0)</f>
        <v>8239.37</v>
      </c>
    </row>
    <row r="20" customFormat="false" ht="15" hidden="false" customHeight="false" outlineLevel="0" collapsed="false">
      <c r="A20" s="7" t="s">
        <v>37</v>
      </c>
      <c r="B20" s="7" t="s">
        <v>34</v>
      </c>
      <c r="C20" s="7" t="n">
        <f aca="false">COUNTIFS(Offres!$B$2:$B$155,$B20,Offres!$C$2:$C$155,$A20)</f>
        <v>5</v>
      </c>
      <c r="D20" s="8" t="n">
        <f aca="false">IFERROR(_xlfn.MINIFS(Offres!$M$2:$M$155,Offres!$B$2:$B$155,$B20,Offres!$C$2:$C$155,$A20),0)</f>
        <v>818.88</v>
      </c>
      <c r="E20" s="8" t="n">
        <f aca="false">IFERROR(AVERAGEIFS(Offres!$S$2:$S$155,Offres!$B$2:$B$155,$B20,Offres!$C$2:$C$155,$A20),0)</f>
        <v>1292.176</v>
      </c>
      <c r="F20" s="8" t="n">
        <f aca="false">IFERROR(_xlfn.MAXIFS(Offres!$N$2:$N$155,Offres!$B$2:$B$155,$B20,Offres!$C$2:$C$155,$A20),0)</f>
        <v>1668</v>
      </c>
      <c r="G20" s="8" t="n">
        <f aca="false">IFERROR(_xlfn.MINIFS(Offres!$O$2:$O$155,Offres!$B$2:$B$155,$B20,Offres!$C$2:$C$155,$A20),0)</f>
        <v>1538.76</v>
      </c>
      <c r="H20" s="8" t="n">
        <f aca="false">IFERROR(AVERAGEIFS(Offres!$T$2:$T$155,Offres!$B$2:$B$155,$B20,Offres!$C$2:$C$155,$A20),0)</f>
        <v>2554.552</v>
      </c>
      <c r="I20" s="8" t="n">
        <f aca="false">IFERROR(_xlfn.MAXIFS(Offres!$P$2:$P$155,Offres!$B$2:$B$155,$B20,Offres!$C$2:$C$155,$A20),0)</f>
        <v>3336</v>
      </c>
      <c r="J20" s="8" t="n">
        <f aca="false">IFERROR(_xlfn.MINIFS(Offres!$Q$2:$Q$155,Offres!$B$2:$B$155,$B20,Offres!$C$2:$C$155,$A20),0)</f>
        <v>2258.64</v>
      </c>
      <c r="K20" s="8" t="n">
        <f aca="false">IFERROR(AVERAGEIFS(Offres!$U$2:$U$155,Offres!$B$2:$B$155,$B20,Offres!$C$2:$C$155,$A20),0)</f>
        <v>3598.928</v>
      </c>
      <c r="L20" s="8" t="n">
        <f aca="false">IFERROR(_xlfn.MAXIFS(Offres!$R$2:$R$155,Offres!$B$2:$B$155,$B20,Offres!$C$2:$C$155,$A20),0)</f>
        <v>5004</v>
      </c>
    </row>
    <row r="21" customFormat="false" ht="15" hidden="false" customHeight="false" outlineLevel="0" collapsed="false">
      <c r="A21" s="7" t="s">
        <v>37</v>
      </c>
      <c r="B21" s="7" t="s">
        <v>35</v>
      </c>
      <c r="C21" s="7" t="n">
        <f aca="false">COUNTIFS(Offres!$B$2:$B$155,$B21,Offres!$C$2:$C$155,$A21)</f>
        <v>11</v>
      </c>
      <c r="D21" s="8" t="n">
        <f aca="false">IFERROR(_xlfn.MINIFS(Offres!$M$2:$M$155,Offres!$B$2:$B$155,$B21,Offres!$C$2:$C$155,$A21),0)</f>
        <v>2669.79</v>
      </c>
      <c r="E21" s="8" t="n">
        <f aca="false">IFERROR(AVERAGEIFS(Offres!$S$2:$S$155,Offres!$B$2:$B$155,$B21,Offres!$C$2:$C$155,$A21),0)</f>
        <v>8196.22254938077</v>
      </c>
      <c r="F21" s="8" t="n">
        <f aca="false">IFERROR(_xlfn.MAXIFS(Offres!$N$2:$N$155,Offres!$B$2:$B$155,$B21,Offres!$C$2:$C$155,$A21),0)</f>
        <v>45079.79</v>
      </c>
      <c r="G21" s="8" t="n">
        <f aca="false">IFERROR(_xlfn.MINIFS(Offres!$O$2:$O$155,Offres!$B$2:$B$155,$B21,Offres!$C$2:$C$155,$A21),0)</f>
        <v>2749.58</v>
      </c>
      <c r="H21" s="8" t="n">
        <f aca="false">IFERROR(AVERAGEIFS(Offres!$T$2:$T$155,Offres!$B$2:$B$155,$B21,Offres!$C$2:$C$155,$A21),0)</f>
        <v>8317.89964421609</v>
      </c>
      <c r="I21" s="8" t="n">
        <f aca="false">IFERROR(_xlfn.MAXIFS(Offres!$P$2:$P$155,Offres!$B$2:$B$155,$B21,Offres!$C$2:$C$155,$A21),0)</f>
        <v>45159.58</v>
      </c>
      <c r="J21" s="8" t="n">
        <f aca="false">IFERROR(_xlfn.MINIFS(Offres!$Q$2:$Q$155,Offres!$B$2:$B$155,$B21,Offres!$C$2:$C$155,$A21),0)</f>
        <v>2829.37</v>
      </c>
      <c r="K21" s="8" t="n">
        <f aca="false">IFERROR(AVERAGEIFS(Offres!$U$2:$U$155,Offres!$B$2:$B$155,$B21,Offres!$C$2:$C$155,$A21),0)</f>
        <v>8439.57673905141</v>
      </c>
      <c r="L21" s="8" t="n">
        <f aca="false">IFERROR(_xlfn.MAXIFS(Offres!$R$2:$R$155,Offres!$B$2:$B$155,$B21,Offres!$C$2:$C$155,$A21),0)</f>
        <v>45239.37</v>
      </c>
    </row>
    <row r="24" customFormat="false" ht="15" hidden="false" customHeight="false" outlineLevel="0" collapsed="false">
      <c r="A24" s="2" t="s">
        <v>38</v>
      </c>
    </row>
    <row r="25" customFormat="false" ht="23.85" hidden="false" customHeight="false" outlineLevel="0" collapsed="false">
      <c r="A25" s="4" t="s">
        <v>18</v>
      </c>
      <c r="B25" s="4" t="s">
        <v>39</v>
      </c>
      <c r="C25" s="4" t="s">
        <v>20</v>
      </c>
      <c r="D25" s="4" t="s">
        <v>21</v>
      </c>
      <c r="E25" s="4" t="s">
        <v>22</v>
      </c>
      <c r="F25" s="4" t="s">
        <v>23</v>
      </c>
      <c r="G25" s="4" t="s">
        <v>24</v>
      </c>
      <c r="H25" s="4" t="s">
        <v>25</v>
      </c>
      <c r="I25" s="4" t="s">
        <v>26</v>
      </c>
      <c r="J25" s="4" t="s">
        <v>27</v>
      </c>
      <c r="K25" s="4" t="s">
        <v>28</v>
      </c>
      <c r="L25" s="4" t="s">
        <v>29</v>
      </c>
    </row>
    <row r="26" customFormat="false" ht="15" hidden="false" customHeight="false" outlineLevel="0" collapsed="false">
      <c r="A26" s="5" t="s">
        <v>30</v>
      </c>
      <c r="B26" s="5" t="s">
        <v>31</v>
      </c>
      <c r="C26" s="5" t="n">
        <f aca="false">COUNTIFS(Offres!$B$2:$B$155,"ValoWeb",Offres!$C$2:$C$155,$A26)</f>
        <v>1</v>
      </c>
      <c r="D26" s="6" t="n">
        <f aca="false">IFERROR(_xlfn.MINIFS(Offres!$M$2:$M$155,Offres!$B$2:$B$155,"ValoWeb",Offres!$C$2:$C$155,$A26),0)</f>
        <v>919.88</v>
      </c>
      <c r="E26" s="6" t="n">
        <f aca="false">IFERROR(AVERAGEIFS(Offres!$S$2:$S$155,Offres!$B$2:$B$155,"ValoWeb",Offres!$C$2:$C$155,$A26),0)</f>
        <v>919.88</v>
      </c>
      <c r="F26" s="6" t="n">
        <f aca="false">IFERROR(_xlfn.MAXIFS(Offres!$N$2:$N$155,Offres!$B$2:$B$155,"ValoWeb",Offres!$C$2:$C$155,$A26),0)</f>
        <v>919.88</v>
      </c>
      <c r="G26" s="6" t="n">
        <f aca="false">IFERROR(_xlfn.MINIFS(Offres!$O$2:$O$155,Offres!$B$2:$B$155,"ValoWeb",Offres!$C$2:$C$155,$A26),0)</f>
        <v>961.303588376433</v>
      </c>
      <c r="H26" s="6" t="n">
        <f aca="false">IFERROR(AVERAGEIFS(Offres!$T$2:$T$155,Offres!$B$2:$B$155,"ValoWeb",Offres!$C$2:$C$155,$A26),0)</f>
        <v>961.303588376433</v>
      </c>
      <c r="I26" s="6" t="n">
        <f aca="false">IFERROR(_xlfn.MAXIFS(Offres!$P$2:$P$155,Offres!$B$2:$B$155,"ValoWeb",Offres!$C$2:$C$155,$A26),0)</f>
        <v>961.303588376433</v>
      </c>
      <c r="J26" s="6" t="n">
        <f aca="false">IFERROR(_xlfn.MINIFS(Offres!$Q$2:$Q$155,Offres!$B$2:$B$155,"ValoWeb",Offres!$C$2:$C$155,$A26),0)</f>
        <v>1002.72717675287</v>
      </c>
      <c r="K26" s="6" t="n">
        <f aca="false">IFERROR(AVERAGEIFS(Offres!$U$2:$U$155,Offres!$B$2:$B$155,"ValoWeb",Offres!$C$2:$C$155,$A26),0)</f>
        <v>1002.72717675287</v>
      </c>
      <c r="L26" s="6" t="n">
        <f aca="false">IFERROR(_xlfn.MAXIFS(Offres!$R$2:$R$155,Offres!$B$2:$B$155,"ValoWeb",Offres!$C$2:$C$155,$A26),0)</f>
        <v>1002.72717675287</v>
      </c>
    </row>
    <row r="27" customFormat="false" ht="15" hidden="false" customHeight="false" outlineLevel="0" collapsed="false">
      <c r="A27" s="7" t="s">
        <v>30</v>
      </c>
      <c r="B27" s="7" t="s">
        <v>40</v>
      </c>
      <c r="C27" s="7" t="n">
        <f aca="false">COUNTIFS(Offres!$Z$2:$Z$155,"Oui*",Offres!$B$2:$B$155,"&lt;&gt;ValoWeb",Offres!$C$2:$C$155,$A27)</f>
        <v>4</v>
      </c>
      <c r="D27" s="8" t="n">
        <f aca="false">IFERROR(_xlfn.MINIFS(Offres!$M$2:$M$155,Offres!$Z$2:$Z$155,"Oui*",Offres!$B$2:$B$155,"&lt;&gt;ValoWeb",Offres!$C$2:$C$155,$A27),0)</f>
        <v>631.423588376433</v>
      </c>
      <c r="E27" s="8" t="n">
        <f aca="false">IFERROR(AVERAGEIFS(Offres!$S$2:$S$155,Offres!$Z$2:$Z$155,"Oui*",Offres!$B$2:$B$155,"&lt;&gt;ValoWeb",Offres!$C$2:$C$155,$A27),0)</f>
        <v>1572.67358837643</v>
      </c>
      <c r="F27" s="8" t="n">
        <f aca="false">IFERROR(_xlfn.MAXIFS(Offres!$N$2:$N$155,Offres!$Z$2:$Z$155,"Oui*",Offres!$B$2:$B$155,"&lt;&gt;ValoWeb",Offres!$C$2:$C$155,$A27),0)</f>
        <v>2541.42358837643</v>
      </c>
      <c r="G27" s="8" t="n">
        <f aca="false">IFERROR(_xlfn.MINIFS(Offres!$O$2:$O$155,Offres!$Z$2:$Z$155,"Oui*",Offres!$B$2:$B$155,"&lt;&gt;ValoWeb",Offres!$C$2:$C$155,$A27),0)</f>
        <v>672.847176752866</v>
      </c>
      <c r="H27" s="8" t="n">
        <f aca="false">IFERROR(AVERAGEIFS(Offres!$T$2:$T$155,Offres!$Z$2:$Z$155,"Oui*",Offres!$B$2:$B$155,"&lt;&gt;ValoWeb",Offres!$C$2:$C$155,$A27),0)</f>
        <v>1614.09717675287</v>
      </c>
      <c r="I27" s="8" t="n">
        <f aca="false">IFERROR(_xlfn.MAXIFS(Offres!$P$2:$P$155,Offres!$Z$2:$Z$155,"Oui*",Offres!$B$2:$B$155,"&lt;&gt;ValoWeb",Offres!$C$2:$C$155,$A27),0)</f>
        <v>2582.84717675287</v>
      </c>
      <c r="J27" s="8" t="n">
        <f aca="false">IFERROR(_xlfn.MINIFS(Offres!$Q$2:$Q$155,Offres!$Z$2:$Z$155,"Oui*",Offres!$B$2:$B$155,"&lt;&gt;ValoWeb",Offres!$C$2:$C$155,$A27),0)</f>
        <v>714.270765129299</v>
      </c>
      <c r="K27" s="8" t="n">
        <f aca="false">IFERROR(AVERAGEIFS(Offres!$U$2:$U$155,Offres!$Z$2:$Z$155,"Oui*",Offres!$B$2:$B$155,"&lt;&gt;ValoWeb",Offres!$C$2:$C$155,$A27),0)</f>
        <v>1655.5207651293</v>
      </c>
      <c r="L27" s="8" t="n">
        <f aca="false">IFERROR(_xlfn.MAXIFS(Offres!$R$2:$R$155,Offres!$Z$2:$Z$155,"Oui*",Offres!$B$2:$B$155,"&lt;&gt;ValoWeb",Offres!$C$2:$C$155,$A27),0)</f>
        <v>2624.2707651293</v>
      </c>
    </row>
    <row r="29" customFormat="false" ht="15" hidden="false" customHeight="false" outlineLevel="0" collapsed="false">
      <c r="A29" s="5" t="s">
        <v>36</v>
      </c>
      <c r="B29" s="5" t="s">
        <v>31</v>
      </c>
      <c r="C29" s="5" t="n">
        <f aca="false">COUNTIFS(Offres!$B$2:$B$155,"ValoWeb",Offres!$C$2:$C$155,$A29)</f>
        <v>1</v>
      </c>
      <c r="D29" s="6" t="n">
        <f aca="false">IFERROR(_xlfn.MINIFS(Offres!$M$2:$M$155,Offres!$B$2:$B$155,"ValoWeb",Offres!$C$2:$C$155,$A29),0)</f>
        <v>2086.47557451346</v>
      </c>
      <c r="E29" s="6" t="n">
        <f aca="false">IFERROR(AVERAGEIFS(Offres!$S$2:$S$155,Offres!$B$2:$B$155,"ValoWeb",Offres!$C$2:$C$155,$A29),0)</f>
        <v>2086.47557451346</v>
      </c>
      <c r="F29" s="6" t="n">
        <f aca="false">IFERROR(_xlfn.MAXIFS(Offres!$N$2:$N$155,Offres!$B$2:$B$155,"ValoWeb",Offres!$C$2:$C$155,$A29),0)</f>
        <v>2086.47557451346</v>
      </c>
      <c r="G29" s="6" t="n">
        <f aca="false">IFERROR(_xlfn.MINIFS(Offres!$O$2:$O$155,Offres!$B$2:$B$155,"ValoWeb",Offres!$C$2:$C$155,$A29),0)</f>
        <v>2394.49473740336</v>
      </c>
      <c r="H29" s="6" t="n">
        <f aca="false">IFERROR(AVERAGEIFS(Offres!$T$2:$T$155,Offres!$B$2:$B$155,"ValoWeb",Offres!$C$2:$C$155,$A29),0)</f>
        <v>2394.49473740336</v>
      </c>
      <c r="I29" s="6" t="n">
        <f aca="false">IFERROR(_xlfn.MAXIFS(Offres!$P$2:$P$155,Offres!$B$2:$B$155,"ValoWeb",Offres!$C$2:$C$155,$A29),0)</f>
        <v>2394.49473740336</v>
      </c>
      <c r="J29" s="6" t="n">
        <f aca="false">IFERROR(_xlfn.MINIFS(Offres!$Q$2:$Q$155,Offres!$B$2:$B$155,"ValoWeb",Offres!$C$2:$C$155,$A29),0)</f>
        <v>2702.51390029326</v>
      </c>
      <c r="K29" s="6" t="n">
        <f aca="false">IFERROR(AVERAGEIFS(Offres!$U$2:$U$155,Offres!$B$2:$B$155,"ValoWeb",Offres!$C$2:$C$155,$A29),0)</f>
        <v>2702.51390029326</v>
      </c>
      <c r="L29" s="6" t="n">
        <f aca="false">IFERROR(_xlfn.MAXIFS(Offres!$R$2:$R$155,Offres!$B$2:$B$155,"ValoWeb",Offres!$C$2:$C$155,$A29),0)</f>
        <v>2702.51390029326</v>
      </c>
    </row>
    <row r="30" customFormat="false" ht="15" hidden="false" customHeight="false" outlineLevel="0" collapsed="false">
      <c r="A30" s="7" t="s">
        <v>36</v>
      </c>
      <c r="B30" s="7" t="s">
        <v>40</v>
      </c>
      <c r="C30" s="7" t="n">
        <f aca="false">COUNTIFS(Offres!$Z$2:$Z$155,"Oui*",Offres!$B$2:$B$155,"&lt;&gt;ValoWeb",Offres!$C$2:$C$155,$A30)</f>
        <v>13</v>
      </c>
      <c r="D30" s="8" t="n">
        <f aca="false">IFERROR(_xlfn.MINIFS(Offres!$M$2:$M$155,Offres!$Z$2:$Z$155,"Oui*",Offres!$B$2:$B$155,"&lt;&gt;ValoWeb",Offres!$C$2:$C$155,$A30),0)</f>
        <v>631.423588376433</v>
      </c>
      <c r="E30" s="8" t="n">
        <f aca="false">IFERROR(AVERAGEIFS(Offres!$S$2:$S$155,Offres!$Z$2:$Z$155,"Oui*",Offres!$B$2:$B$155,"&lt;&gt;ValoWeb",Offres!$C$2:$C$155,$A30),0)</f>
        <v>4978.81408157825</v>
      </c>
      <c r="F30" s="8" t="n">
        <f aca="false">IFERROR(_xlfn.MAXIFS(Offres!$N$2:$N$155,Offres!$Z$2:$Z$155,"Oui*",Offres!$B$2:$B$155,"&lt;&gt;ValoWeb",Offres!$C$2:$C$155,$A30),0)</f>
        <v>20041.4235883764</v>
      </c>
      <c r="G30" s="8" t="n">
        <f aca="false">IFERROR(_xlfn.MINIFS(Offres!$O$2:$O$155,Offres!$Z$2:$Z$155,"Oui*",Offres!$B$2:$B$155,"&lt;&gt;ValoWeb",Offres!$C$2:$C$155,$A30),0)</f>
        <v>672.847176752866</v>
      </c>
      <c r="H30" s="8" t="n">
        <f aca="false">IFERROR(AVERAGEIFS(Offres!$T$2:$T$155,Offres!$Z$2:$Z$155,"Oui*",Offres!$B$2:$B$155,"&lt;&gt;ValoWeb",Offres!$C$2:$C$155,$A30),0)</f>
        <v>5029.55124007957</v>
      </c>
      <c r="I30" s="8" t="n">
        <f aca="false">IFERROR(_xlfn.MAXIFS(Offres!$P$2:$P$155,Offres!$Z$2:$Z$155,"Oui*",Offres!$B$2:$B$155,"&lt;&gt;ValoWeb",Offres!$C$2:$C$155,$A30),0)</f>
        <v>20082.8471767529</v>
      </c>
      <c r="J30" s="8" t="n">
        <f aca="false">IFERROR(_xlfn.MINIFS(Offres!$Q$2:$Q$155,Offres!$Z$2:$Z$155,"Oui*",Offres!$B$2:$B$155,"&lt;&gt;ValoWeb",Offres!$C$2:$C$155,$A30),0)</f>
        <v>714.270765129299</v>
      </c>
      <c r="K30" s="8" t="n">
        <f aca="false">IFERROR(AVERAGEIFS(Offres!$U$2:$U$155,Offres!$Z$2:$Z$155,"Oui*",Offres!$B$2:$B$155,"&lt;&gt;ValoWeb",Offres!$C$2:$C$155,$A30),0)</f>
        <v>5080.28839858089</v>
      </c>
      <c r="L30" s="8" t="n">
        <f aca="false">IFERROR(_xlfn.MAXIFS(Offres!$R$2:$R$155,Offres!$Z$2:$Z$155,"Oui*",Offres!$B$2:$B$155,"&lt;&gt;ValoWeb",Offres!$C$2:$C$155,$A30),0)</f>
        <v>20124.2707651293</v>
      </c>
    </row>
    <row r="32" customFormat="false" ht="15" hidden="false" customHeight="false" outlineLevel="0" collapsed="false">
      <c r="A32" s="5" t="s">
        <v>37</v>
      </c>
      <c r="B32" s="5" t="s">
        <v>31</v>
      </c>
      <c r="C32" s="5" t="n">
        <f aca="false">COUNTIFS(Offres!$B$2:$B$155,"ValoWeb",Offres!$C$2:$C$155,$A32)</f>
        <v>1</v>
      </c>
      <c r="D32" s="6" t="n">
        <f aca="false">IFERROR(_xlfn.MINIFS(Offres!$M$2:$M$155,Offres!$B$2:$B$155,"ValoWeb",Offres!$C$2:$C$155,$A32),0)</f>
        <v>4686.47557451346</v>
      </c>
      <c r="E32" s="6" t="n">
        <f aca="false">IFERROR(AVERAGEIFS(Offres!$S$2:$S$155,Offres!$B$2:$B$155,"ValoWeb",Offres!$C$2:$C$155,$A32),0)</f>
        <v>4686.47557451346</v>
      </c>
      <c r="F32" s="6" t="n">
        <f aca="false">IFERROR(_xlfn.MAXIFS(Offres!$N$2:$N$155,Offres!$B$2:$B$155,"ValoWeb",Offres!$C$2:$C$155,$A32),0)</f>
        <v>4686.47557451346</v>
      </c>
      <c r="G32" s="6" t="n">
        <f aca="false">IFERROR(_xlfn.MINIFS(Offres!$O$2:$O$155,Offres!$B$2:$B$155,"ValoWeb",Offres!$C$2:$C$155,$A32),0)</f>
        <v>4994.49473740336</v>
      </c>
      <c r="H32" s="6" t="n">
        <f aca="false">IFERROR(AVERAGEIFS(Offres!$T$2:$T$155,Offres!$B$2:$B$155,"ValoWeb",Offres!$C$2:$C$155,$A32),0)</f>
        <v>4994.49473740336</v>
      </c>
      <c r="I32" s="6" t="n">
        <f aca="false">IFERROR(_xlfn.MAXIFS(Offres!$P$2:$P$155,Offres!$B$2:$B$155,"ValoWeb",Offres!$C$2:$C$155,$A32),0)</f>
        <v>4994.49473740336</v>
      </c>
      <c r="J32" s="6" t="n">
        <f aca="false">IFERROR(_xlfn.MINIFS(Offres!$Q$2:$Q$155,Offres!$B$2:$B$155,"ValoWeb",Offres!$C$2:$C$155,$A32),0)</f>
        <v>5302.51390029326</v>
      </c>
      <c r="K32" s="6" t="n">
        <f aca="false">IFERROR(AVERAGEIFS(Offres!$U$2:$U$155,Offres!$B$2:$B$155,"ValoWeb",Offres!$C$2:$C$155,$A32),0)</f>
        <v>5302.51390029326</v>
      </c>
      <c r="L32" s="6" t="n">
        <f aca="false">IFERROR(_xlfn.MAXIFS(Offres!$R$2:$R$155,Offres!$B$2:$B$155,"ValoWeb",Offres!$C$2:$C$155,$A32),0)</f>
        <v>5302.51390029326</v>
      </c>
    </row>
    <row r="33" customFormat="false" ht="15" hidden="false" customHeight="false" outlineLevel="0" collapsed="false">
      <c r="A33" s="7" t="s">
        <v>37</v>
      </c>
      <c r="B33" s="7" t="s">
        <v>40</v>
      </c>
      <c r="C33" s="7" t="n">
        <f aca="false">COUNTIFS(Offres!$Z$2:$Z$155,"Oui*",Offres!$B$2:$B$155,"&lt;&gt;ValoWeb",Offres!$C$2:$C$155,$A33)</f>
        <v>5</v>
      </c>
      <c r="D33" s="8" t="n">
        <f aca="false">IFERROR(_xlfn.MINIFS(Offres!$M$2:$M$155,Offres!$Z$2:$Z$155,"Oui*",Offres!$B$2:$B$155,"&lt;&gt;ValoWeb",Offres!$C$2:$C$155,$A33),0)</f>
        <v>1379.79</v>
      </c>
      <c r="E33" s="8" t="n">
        <f aca="false">IFERROR(AVERAGEIFS(Offres!$S$2:$S$155,Offres!$Z$2:$Z$155,"Oui*",Offres!$B$2:$B$155,"&lt;&gt;ValoWeb",Offres!$C$2:$C$155,$A33),0)</f>
        <v>9074.79</v>
      </c>
      <c r="F33" s="8" t="n">
        <f aca="false">IFERROR(_xlfn.MAXIFS(Offres!$N$2:$N$155,Offres!$Z$2:$Z$155,"Oui*",Offres!$B$2:$B$155,"&lt;&gt;ValoWeb",Offres!$C$2:$C$155,$A33),0)</f>
        <v>45079.79</v>
      </c>
      <c r="G33" s="8" t="n">
        <f aca="false">IFERROR(_xlfn.MINIFS(Offres!$O$2:$O$155,Offres!$Z$2:$Z$155,"Oui*",Offres!$B$2:$B$155,"&lt;&gt;ValoWeb",Offres!$C$2:$C$155,$A33),0)</f>
        <v>1459.58</v>
      </c>
      <c r="H33" s="8" t="n">
        <f aca="false">IFERROR(AVERAGEIFS(Offres!$T$2:$T$155,Offres!$Z$2:$Z$155,"Oui*",Offres!$B$2:$B$155,"&lt;&gt;ValoWeb",Offres!$C$2:$C$155,$A33),0)</f>
        <v>9154.58</v>
      </c>
      <c r="I33" s="8" t="n">
        <f aca="false">IFERROR(_xlfn.MAXIFS(Offres!$P$2:$P$155,Offres!$Z$2:$Z$155,"Oui*",Offres!$B$2:$B$155,"&lt;&gt;ValoWeb",Offres!$C$2:$C$155,$A33),0)</f>
        <v>45159.58</v>
      </c>
      <c r="J33" s="8" t="n">
        <f aca="false">IFERROR(_xlfn.MINIFS(Offres!$Q$2:$Q$155,Offres!$Z$2:$Z$155,"Oui*",Offres!$B$2:$B$155,"&lt;&gt;ValoWeb",Offres!$C$2:$C$155,$A33),0)</f>
        <v>1539.37</v>
      </c>
      <c r="K33" s="8" t="n">
        <f aca="false">IFERROR(AVERAGEIFS(Offres!$U$2:$U$155,Offres!$Z$2:$Z$155,"Oui*",Offres!$B$2:$B$155,"&lt;&gt;ValoWeb",Offres!$C$2:$C$155,$A33),0)</f>
        <v>9234.37</v>
      </c>
      <c r="L33" s="8" t="n">
        <f aca="false">IFERROR(_xlfn.MAXIFS(Offres!$R$2:$R$155,Offres!$Z$2:$Z$155,"Oui*",Offres!$B$2:$B$155,"&lt;&gt;ValoWeb",Offres!$C$2:$C$155,$A33),0)</f>
        <v>45239.37</v>
      </c>
    </row>
    <row r="36" customFormat="false" ht="15" hidden="false" customHeight="false" outlineLevel="0" collapsed="false">
      <c r="A36" s="2" t="s">
        <v>41</v>
      </c>
    </row>
    <row r="37" customFormat="false" ht="23.85" hidden="false" customHeight="false" outlineLevel="0" collapsed="false">
      <c r="A37" s="4" t="s">
        <v>18</v>
      </c>
      <c r="B37" s="4" t="s">
        <v>19</v>
      </c>
      <c r="C37" s="4" t="s">
        <v>20</v>
      </c>
      <c r="D37" s="4" t="s">
        <v>21</v>
      </c>
      <c r="E37" s="4" t="s">
        <v>22</v>
      </c>
      <c r="F37" s="4" t="s">
        <v>23</v>
      </c>
      <c r="G37" s="4" t="s">
        <v>24</v>
      </c>
      <c r="H37" s="4" t="s">
        <v>25</v>
      </c>
      <c r="I37" s="4" t="s">
        <v>26</v>
      </c>
      <c r="J37" s="4" t="s">
        <v>27</v>
      </c>
      <c r="K37" s="4" t="s">
        <v>28</v>
      </c>
      <c r="L37" s="4" t="s">
        <v>29</v>
      </c>
    </row>
    <row r="38" customFormat="false" ht="15" hidden="false" customHeight="false" outlineLevel="0" collapsed="false">
      <c r="A38" s="5" t="str">
        <f aca="false">A5</f>
        <v>Essentiel</v>
      </c>
      <c r="B38" s="5" t="str">
        <f aca="false">B5</f>
        <v>ValoWeb</v>
      </c>
      <c r="C38" s="5" t="n">
        <f aca="false">C5</f>
        <v>1</v>
      </c>
      <c r="D38" s="6" t="n">
        <f aca="false">D5+IF(OR($B38="Créateur à petit prix",$B38="Agence"),1*Hypothèses!$B$16,IF($B38="ValoWeb",1*Hypothèses!$B$17,0))</f>
        <v>919.88</v>
      </c>
      <c r="E38" s="6" t="n">
        <f aca="false">E5+IF(OR($B38="Créateur à petit prix",$B38="Agence"),1*Hypothèses!$B$16,IF($B38="ValoWeb",1*Hypothèses!$B$17,0))</f>
        <v>919.88</v>
      </c>
      <c r="F38" s="6" t="n">
        <f aca="false">F5+IF(OR($B38="Créateur à petit prix",$B38="Agence"),1*Hypothèses!$B$16,IF($B38="ValoWeb",1*Hypothèses!$B$17,0))</f>
        <v>919.88</v>
      </c>
      <c r="G38" s="6" t="n">
        <f aca="false">G5+IF(OR($B38="Créateur à petit prix",$B38="Agence"),2*Hypothèses!$B$16,IF($B38="ValoWeb",2*Hypothèses!$B$17,0))</f>
        <v>961.303588376433</v>
      </c>
      <c r="H38" s="6" t="n">
        <f aca="false">H5+IF(OR($B38="Créateur à petit prix",$B38="Agence"),2*Hypothèses!$B$16,IF($B38="ValoWeb",2*Hypothèses!$B$17,0))</f>
        <v>961.303588376433</v>
      </c>
      <c r="I38" s="6" t="n">
        <f aca="false">I5+IF(OR($B38="Créateur à petit prix",$B38="Agence"),2*Hypothèses!$B$16,IF($B38="ValoWeb",2*Hypothèses!$B$17,0))</f>
        <v>961.303588376433</v>
      </c>
      <c r="J38" s="6" t="n">
        <f aca="false">J5+IF(OR($B38="Créateur à petit prix",$B38="Agence"),3*Hypothèses!$B$16,IF($B38="ValoWeb",3*Hypothèses!$B$17,0))</f>
        <v>1002.72717675287</v>
      </c>
      <c r="K38" s="6" t="n">
        <f aca="false">K5+IF(OR($B38="Créateur à petit prix",$B38="Agence"),3*Hypothèses!$B$16,IF($B38="ValoWeb",3*Hypothèses!$B$17,0))</f>
        <v>1002.72717675287</v>
      </c>
      <c r="L38" s="6" t="n">
        <f aca="false">L5+IF(OR($B38="Créateur à petit prix",$B38="Agence"),3*Hypothèses!$B$16,IF($B38="ValoWeb",3*Hypothèses!$B$17,0))</f>
        <v>1002.72717675287</v>
      </c>
    </row>
    <row r="39" customFormat="false" ht="15" hidden="false" customHeight="false" outlineLevel="0" collapsed="false">
      <c r="A39" s="7" t="str">
        <f aca="false">A6</f>
        <v>Essentiel</v>
      </c>
      <c r="B39" s="7" t="str">
        <f aca="false">B6</f>
        <v>Le faire soi-même</v>
      </c>
      <c r="C39" s="7" t="n">
        <f aca="false">C6</f>
        <v>16</v>
      </c>
      <c r="D39" s="8" t="n">
        <f aca="false">D6+IF(OR($B39="Créateur à petit prix",$B39="Agence"),1*Hypothèses!$B$16,IF($B39="ValoWeb",1*Hypothèses!$B$17,0))</f>
        <v>32.28</v>
      </c>
      <c r="E39" s="8" t="n">
        <f aca="false">E6+IF(OR($B39="Créateur à petit prix",$B39="Agence"),1*Hypothèses!$B$16,IF($B39="ValoWeb",1*Hypothèses!$B$17,0))</f>
        <v>92.0933624366836</v>
      </c>
      <c r="F39" s="8" t="n">
        <f aca="false">F6+IF(OR($B39="Créateur à petit prix",$B39="Agence"),1*Hypothèses!$B$16,IF($B39="ValoWeb",1*Hypothèses!$B$17,0))</f>
        <v>168</v>
      </c>
      <c r="G39" s="8" t="n">
        <f aca="false">G6+IF(OR($B39="Créateur à petit prix",$B39="Agence"),2*Hypothèses!$B$16,IF($B39="ValoWeb",2*Hypothèses!$B$17,0))</f>
        <v>76.103588376433</v>
      </c>
      <c r="H39" s="8" t="n">
        <f aca="false">H6+IF(OR($B39="Créateur à petit prix",$B39="Agence"),2*Hypothèses!$B$16,IF($B39="ValoWeb",2*Hypothèses!$B$17,0))</f>
        <v>196.316010536079</v>
      </c>
      <c r="I39" s="8" t="n">
        <f aca="false">I6+IF(OR($B39="Créateur à petit prix",$B39="Agence"),2*Hypothèses!$B$16,IF($B39="ValoWeb",2*Hypothèses!$B$17,0))</f>
        <v>348.458333333333</v>
      </c>
      <c r="J39" s="8" t="n">
        <f aca="false">J6+IF(OR($B39="Créateur à petit prix",$B39="Agence"),3*Hypothèses!$B$16,IF($B39="ValoWeb",3*Hypothèses!$B$17,0))</f>
        <v>119.927176752866</v>
      </c>
      <c r="K39" s="8" t="n">
        <f aca="false">K6+IF(OR($B39="Créateur à petit prix",$B39="Agence"),3*Hypothèses!$B$16,IF($B39="ValoWeb",3*Hypothèses!$B$17,0))</f>
        <v>300.538658635475</v>
      </c>
      <c r="L39" s="8" t="n">
        <f aca="false">L6+IF(OR($B39="Créateur à petit prix",$B39="Agence"),3*Hypothèses!$B$16,IF($B39="ValoWeb",3*Hypothèses!$B$17,0))</f>
        <v>528.916666666667</v>
      </c>
    </row>
    <row r="40" customFormat="false" ht="15" hidden="false" customHeight="false" outlineLevel="0" collapsed="false">
      <c r="A40" s="7" t="str">
        <f aca="false">A7</f>
        <v>Essentiel</v>
      </c>
      <c r="B40" s="7" t="str">
        <f aca="false">B7</f>
        <v>Créateur à petit prix</v>
      </c>
      <c r="C40" s="7" t="n">
        <f aca="false">C7</f>
        <v>17</v>
      </c>
      <c r="D40" s="8" t="n">
        <f aca="false">D7+IF(OR($B40="Créateur à petit prix",$B40="Agence"),1*Hypothèses!$B$16,IF($B40="ValoWeb",1*Hypothèses!$B$17,0))</f>
        <v>1120.42358837643</v>
      </c>
      <c r="E40" s="8" t="n">
        <f aca="false">E7+IF(OR($B40="Créateur à petit prix",$B40="Agence"),1*Hypothèses!$B$16,IF($B40="ValoWeb",1*Hypothèses!$B$17,0))</f>
        <v>1677.08669562626</v>
      </c>
      <c r="F40" s="8" t="n">
        <f aca="false">F7+IF(OR($B40="Créateur à petit prix",$B40="Agence"),1*Hypothèses!$B$16,IF($B40="ValoWeb",1*Hypothèses!$B$17,0))</f>
        <v>3321.42358837643</v>
      </c>
      <c r="G40" s="8" t="n">
        <f aca="false">G7+IF(OR($B40="Créateur à petit prix",$B40="Agence"),2*Hypothèses!$B$16,IF($B40="ValoWeb",2*Hypothèses!$B$17,0))</f>
        <v>1941.84717675287</v>
      </c>
      <c r="H40" s="8" t="n">
        <f aca="false">H7+IF(OR($B40="Créateur à petit prix",$B40="Agence"),2*Hypothèses!$B$16,IF($B40="ValoWeb",2*Hypothèses!$B$17,0))</f>
        <v>2514.61456772312</v>
      </c>
      <c r="I40" s="8" t="n">
        <f aca="false">I7+IF(OR($B40="Créateur à petit prix",$B40="Agence"),2*Hypothèses!$B$16,IF($B40="ValoWeb",2*Hypothèses!$B$17,0))</f>
        <v>4142.84717675287</v>
      </c>
      <c r="J40" s="8" t="n">
        <f aca="false">J7+IF(OR($B40="Créateur à petit prix",$B40="Agence"),3*Hypothèses!$B$16,IF($B40="ValoWeb",3*Hypothèses!$B$17,0))</f>
        <v>2763.2707651293</v>
      </c>
      <c r="K40" s="8" t="n">
        <f aca="false">K7+IF(OR($B40="Créateur à petit prix",$B40="Agence"),3*Hypothèses!$B$16,IF($B40="ValoWeb",3*Hypothèses!$B$17,0))</f>
        <v>3352.14243981997</v>
      </c>
      <c r="L40" s="8" t="n">
        <f aca="false">L7+IF(OR($B40="Créateur à petit prix",$B40="Agence"),3*Hypothèses!$B$16,IF($B40="ValoWeb",3*Hypothèses!$B$17,0))</f>
        <v>4964.2707651293</v>
      </c>
    </row>
    <row r="41" customFormat="false" ht="15" hidden="false" customHeight="false" outlineLevel="0" collapsed="false">
      <c r="A41" s="7" t="str">
        <f aca="false">A8</f>
        <v>Essentiel</v>
      </c>
      <c r="B41" s="7" t="str">
        <f aca="false">B8</f>
        <v>Abonnement tout compris</v>
      </c>
      <c r="C41" s="7" t="n">
        <f aca="false">C8</f>
        <v>14</v>
      </c>
      <c r="D41" s="8" t="n">
        <f aca="false">D8+IF(OR($B41="Créateur à petit prix",$B41="Agence"),1*Hypothèses!$B$16,IF($B41="ValoWeb",1*Hypothèses!$B$17,0))</f>
        <v>418.8</v>
      </c>
      <c r="E41" s="8" t="n">
        <f aca="false">E8+IF(OR($B41="Créateur à petit prix",$B41="Agence"),1*Hypothèses!$B$16,IF($B41="ValoWeb",1*Hypothèses!$B$17,0))</f>
        <v>1050.91857142857</v>
      </c>
      <c r="F41" s="8" t="n">
        <f aca="false">F8+IF(OR($B41="Créateur à petit prix",$B41="Agence"),1*Hypothèses!$B$16,IF($B41="ValoWeb",1*Hypothèses!$B$17,0))</f>
        <v>1980</v>
      </c>
      <c r="G41" s="8" t="n">
        <f aca="false">G8+IF(OR($B41="Créateur à petit prix",$B41="Agence"),2*Hypothèses!$B$16,IF($B41="ValoWeb",2*Hypothèses!$B$17,0))</f>
        <v>818.76</v>
      </c>
      <c r="H41" s="8" t="n">
        <f aca="false">H8+IF(OR($B41="Créateur à petit prix",$B41="Agence"),2*Hypothèses!$B$16,IF($B41="ValoWeb",2*Hypothèses!$B$17,0))</f>
        <v>1817.73</v>
      </c>
      <c r="I41" s="8" t="n">
        <f aca="false">I8+IF(OR($B41="Créateur à petit prix",$B41="Agence"),2*Hypothèses!$B$16,IF($B41="ValoWeb",2*Hypothèses!$B$17,0))</f>
        <v>2775</v>
      </c>
      <c r="J41" s="8" t="n">
        <f aca="false">J8+IF(OR($B41="Créateur à petit prix",$B41="Agence"),3*Hypothèses!$B$16,IF($B41="ValoWeb",3*Hypothèses!$B$17,0))</f>
        <v>1178.64</v>
      </c>
      <c r="K41" s="8" t="n">
        <f aca="false">K8+IF(OR($B41="Créateur à petit prix",$B41="Agence"),3*Hypothèses!$B$16,IF($B41="ValoWeb",3*Hypothèses!$B$17,0))</f>
        <v>2463.82714285714</v>
      </c>
      <c r="L41" s="8" t="n">
        <f aca="false">L8+IF(OR($B41="Créateur à petit prix",$B41="Agence"),3*Hypothèses!$B$16,IF($B41="ValoWeb",3*Hypothèses!$B$17,0))</f>
        <v>3963</v>
      </c>
    </row>
    <row r="42" customFormat="false" ht="15" hidden="false" customHeight="false" outlineLevel="0" collapsed="false">
      <c r="A42" s="7" t="str">
        <f aca="false">A9</f>
        <v>Essentiel</v>
      </c>
      <c r="B42" s="7" t="str">
        <f aca="false">B9</f>
        <v>Agence</v>
      </c>
      <c r="C42" s="7" t="n">
        <f aca="false">C9</f>
        <v>5</v>
      </c>
      <c r="D42" s="8" t="n">
        <f aca="false">D9+IF(OR($B42="Créateur à petit prix",$B42="Agence"),1*Hypothèses!$B$16,IF($B42="ValoWeb",1*Hypothèses!$B$17,0))</f>
        <v>2280</v>
      </c>
      <c r="E42" s="8" t="n">
        <f aca="false">E9+IF(OR($B42="Créateur à petit prix",$B42="Agence"),1*Hypothèses!$B$16,IF($B42="ValoWeb",1*Hypothèses!$B$17,0))</f>
        <v>2811.13887070115</v>
      </c>
      <c r="F42" s="8" t="n">
        <f aca="false">F9+IF(OR($B42="Créateur à petit prix",$B42="Agence"),1*Hypothèses!$B$16,IF($B42="ValoWeb",1*Hypothèses!$B$17,0))</f>
        <v>3821.42358837643</v>
      </c>
      <c r="G42" s="8" t="n">
        <f aca="false">G9+IF(OR($B42="Créateur à petit prix",$B42="Agence"),2*Hypothèses!$B$16,IF($B42="ValoWeb",2*Hypothèses!$B$17,0))</f>
        <v>3101.42358837643</v>
      </c>
      <c r="H42" s="8" t="n">
        <f aca="false">H9+IF(OR($B42="Créateur à petit prix",$B42="Agence"),2*Hypothèses!$B$16,IF($B42="ValoWeb",2*Hypothèses!$B$17,0))</f>
        <v>3632.56245907758</v>
      </c>
      <c r="I42" s="8" t="n">
        <f aca="false">I9+IF(OR($B42="Créateur à petit prix",$B42="Agence"),2*Hypothèses!$B$16,IF($B42="ValoWeb",2*Hypothèses!$B$17,0))</f>
        <v>4642.84717675287</v>
      </c>
      <c r="J42" s="8" t="n">
        <f aca="false">J9+IF(OR($B42="Créateur à petit prix",$B42="Agence"),3*Hypothèses!$B$16,IF($B42="ValoWeb",3*Hypothèses!$B$17,0))</f>
        <v>3922.84717675287</v>
      </c>
      <c r="K42" s="8" t="n">
        <f aca="false">K9+IF(OR($B42="Créateur à petit prix",$B42="Agence"),3*Hypothèses!$B$16,IF($B42="ValoWeb",3*Hypothèses!$B$17,0))</f>
        <v>4453.98604745401</v>
      </c>
      <c r="L42" s="8" t="n">
        <f aca="false">L9+IF(OR($B42="Créateur à petit prix",$B42="Agence"),3*Hypothèses!$B$16,IF($B42="ValoWeb",3*Hypothèses!$B$17,0))</f>
        <v>5464.2707651293</v>
      </c>
    </row>
    <row r="44" customFormat="false" ht="15" hidden="false" customHeight="false" outlineLevel="0" collapsed="false">
      <c r="A44" s="5" t="str">
        <f aca="false">A11</f>
        <v>Pro</v>
      </c>
      <c r="B44" s="5" t="str">
        <f aca="false">B11</f>
        <v>ValoWeb</v>
      </c>
      <c r="C44" s="5" t="n">
        <f aca="false">C11</f>
        <v>1</v>
      </c>
      <c r="D44" s="6" t="n">
        <f aca="false">D11+IF(OR($B44="Créateur à petit prix",$B44="Agence"),1*Hypothèses!$B$16,IF($B44="ValoWeb",1*Hypothèses!$B$17,0))</f>
        <v>2086.47557451346</v>
      </c>
      <c r="E44" s="6" t="n">
        <f aca="false">E11+IF(OR($B44="Créateur à petit prix",$B44="Agence"),1*Hypothèses!$B$16,IF($B44="ValoWeb",1*Hypothèses!$B$17,0))</f>
        <v>2086.47557451346</v>
      </c>
      <c r="F44" s="6" t="n">
        <f aca="false">F11+IF(OR($B44="Créateur à petit prix",$B44="Agence"),1*Hypothèses!$B$16,IF($B44="ValoWeb",1*Hypothèses!$B$17,0))</f>
        <v>2086.47557451346</v>
      </c>
      <c r="G44" s="6" t="n">
        <f aca="false">G11+IF(OR($B44="Créateur à petit prix",$B44="Agence"),2*Hypothèses!$B$16,IF($B44="ValoWeb",2*Hypothèses!$B$17,0))</f>
        <v>2394.49473740336</v>
      </c>
      <c r="H44" s="6" t="n">
        <f aca="false">H11+IF(OR($B44="Créateur à petit prix",$B44="Agence"),2*Hypothèses!$B$16,IF($B44="ValoWeb",2*Hypothèses!$B$17,0))</f>
        <v>2394.49473740336</v>
      </c>
      <c r="I44" s="6" t="n">
        <f aca="false">I11+IF(OR($B44="Créateur à petit prix",$B44="Agence"),2*Hypothèses!$B$16,IF($B44="ValoWeb",2*Hypothèses!$B$17,0))</f>
        <v>2394.49473740336</v>
      </c>
      <c r="J44" s="6" t="n">
        <f aca="false">J11+IF(OR($B44="Créateur à petit prix",$B44="Agence"),3*Hypothèses!$B$16,IF($B44="ValoWeb",3*Hypothèses!$B$17,0))</f>
        <v>2702.51390029326</v>
      </c>
      <c r="K44" s="6" t="n">
        <f aca="false">K11+IF(OR($B44="Créateur à petit prix",$B44="Agence"),3*Hypothèses!$B$16,IF($B44="ValoWeb",3*Hypothèses!$B$17,0))</f>
        <v>2702.51390029326</v>
      </c>
      <c r="L44" s="6" t="n">
        <f aca="false">L11+IF(OR($B44="Créateur à petit prix",$B44="Agence"),3*Hypothèses!$B$16,IF($B44="ValoWeb",3*Hypothèses!$B$17,0))</f>
        <v>2702.51390029326</v>
      </c>
    </row>
    <row r="45" customFormat="false" ht="15" hidden="false" customHeight="false" outlineLevel="0" collapsed="false">
      <c r="A45" s="7" t="str">
        <f aca="false">A12</f>
        <v>Pro</v>
      </c>
      <c r="B45" s="7" t="str">
        <f aca="false">B12</f>
        <v>Le faire soi-même</v>
      </c>
      <c r="C45" s="7" t="n">
        <f aca="false">C12</f>
        <v>16</v>
      </c>
      <c r="D45" s="8" t="n">
        <f aca="false">D12+IF(OR($B45="Créateur à petit prix",$B45="Agence"),1*Hypothèses!$B$16,IF($B45="ValoWeb",1*Hypothèses!$B$17,0))</f>
        <v>32.28</v>
      </c>
      <c r="E45" s="8" t="n">
        <f aca="false">E12+IF(OR($B45="Créateur à petit prix",$B45="Agence"),1*Hypothèses!$B$16,IF($B45="ValoWeb",1*Hypothèses!$B$17,0))</f>
        <v>150.104359504132</v>
      </c>
      <c r="F45" s="8" t="n">
        <f aca="false">F12+IF(OR($B45="Créateur à petit prix",$B45="Agence"),1*Hypothèses!$B$16,IF($B45="ValoWeb",1*Hypothèses!$B$17,0))</f>
        <v>300</v>
      </c>
      <c r="G45" s="8" t="n">
        <f aca="false">G12+IF(OR($B45="Créateur à petit prix",$B45="Agence"),2*Hypothèses!$B$16,IF($B45="ValoWeb",2*Hypothèses!$B$17,0))</f>
        <v>76.103588376433</v>
      </c>
      <c r="H45" s="8" t="n">
        <f aca="false">H12+IF(OR($B45="Créateur à petit prix",$B45="Agence"),2*Hypothèses!$B$16,IF($B45="ValoWeb",2*Hypothèses!$B$17,0))</f>
        <v>312.338004670977</v>
      </c>
      <c r="I45" s="8" t="n">
        <f aca="false">I12+IF(OR($B45="Créateur à petit prix",$B45="Agence"),2*Hypothèses!$B$16,IF($B45="ValoWeb",2*Hypothèses!$B$17,0))</f>
        <v>612.458333333333</v>
      </c>
      <c r="J45" s="8" t="n">
        <f aca="false">J12+IF(OR($B45="Créateur à petit prix",$B45="Agence"),3*Hypothèses!$B$16,IF($B45="ValoWeb",3*Hypothèses!$B$17,0))</f>
        <v>119.927176752866</v>
      </c>
      <c r="K45" s="8" t="n">
        <f aca="false">K12+IF(OR($B45="Créateur à petit prix",$B45="Agence"),3*Hypothèses!$B$16,IF($B45="ValoWeb",3*Hypothèses!$B$17,0))</f>
        <v>474.571649837821</v>
      </c>
      <c r="L45" s="8" t="n">
        <f aca="false">L12+IF(OR($B45="Créateur à petit prix",$B45="Agence"),3*Hypothèses!$B$16,IF($B45="ValoWeb",3*Hypothèses!$B$17,0))</f>
        <v>924.916666666667</v>
      </c>
    </row>
    <row r="46" customFormat="false" ht="15" hidden="false" customHeight="false" outlineLevel="0" collapsed="false">
      <c r="A46" s="7" t="str">
        <f aca="false">A13</f>
        <v>Pro</v>
      </c>
      <c r="B46" s="7" t="str">
        <f aca="false">B13</f>
        <v>Créateur à petit prix</v>
      </c>
      <c r="C46" s="7" t="n">
        <f aca="false">C13</f>
        <v>12</v>
      </c>
      <c r="D46" s="8" t="n">
        <f aca="false">D13+IF(OR($B46="Créateur à petit prix",$B46="Agence"),1*Hypothèses!$B$16,IF($B46="ValoWeb",1*Hypothèses!$B$17,0))</f>
        <v>1411.42358837643</v>
      </c>
      <c r="E46" s="8" t="n">
        <f aca="false">E13+IF(OR($B46="Créateur à petit prix",$B46="Agence"),1*Hypothèses!$B$16,IF($B46="ValoWeb",1*Hypothèses!$B$17,0))</f>
        <v>2267.70269128233</v>
      </c>
      <c r="F46" s="8" t="n">
        <f aca="false">F13+IF(OR($B46="Créateur à petit prix",$B46="Agence"),1*Hypothèses!$B$16,IF($B46="ValoWeb",1*Hypothèses!$B$17,0))</f>
        <v>4821.42358837643</v>
      </c>
      <c r="G46" s="8" t="n">
        <f aca="false">G13+IF(OR($B46="Créateur à petit prix",$B46="Agence"),2*Hypothèses!$B$16,IF($B46="ValoWeb",2*Hypothèses!$B$17,0))</f>
        <v>2232.84717675287</v>
      </c>
      <c r="H46" s="8" t="n">
        <f aca="false">H13+IF(OR($B46="Créateur à petit prix",$B46="Agence"),2*Hypothèses!$B$16,IF($B46="ValoWeb",2*Hypothèses!$B$17,0))</f>
        <v>3116.65538256465</v>
      </c>
      <c r="I46" s="8" t="n">
        <f aca="false">I13+IF(OR($B46="Créateur à petit prix",$B46="Agence"),2*Hypothèses!$B$16,IF($B46="ValoWeb",2*Hypothèses!$B$17,0))</f>
        <v>5642.84717675287</v>
      </c>
      <c r="J46" s="8" t="n">
        <f aca="false">J13+IF(OR($B46="Créateur à petit prix",$B46="Agence"),3*Hypothèses!$B$16,IF($B46="ValoWeb",3*Hypothèses!$B$17,0))</f>
        <v>3054.2707651293</v>
      </c>
      <c r="K46" s="8" t="n">
        <f aca="false">K13+IF(OR($B46="Créateur à petit prix",$B46="Agence"),3*Hypothèses!$B$16,IF($B46="ValoWeb",3*Hypothèses!$B$17,0))</f>
        <v>3965.60807384697</v>
      </c>
      <c r="L46" s="8" t="n">
        <f aca="false">L13+IF(OR($B46="Créateur à petit prix",$B46="Agence"),3*Hypothèses!$B$16,IF($B46="ValoWeb",3*Hypothèses!$B$17,0))</f>
        <v>6464.2707651293</v>
      </c>
    </row>
    <row r="47" customFormat="false" ht="15" hidden="false" customHeight="false" outlineLevel="0" collapsed="false">
      <c r="A47" s="7" t="str">
        <f aca="false">A14</f>
        <v>Pro</v>
      </c>
      <c r="B47" s="7" t="str">
        <f aca="false">B14</f>
        <v>Abonnement tout compris</v>
      </c>
      <c r="C47" s="7" t="n">
        <f aca="false">C14</f>
        <v>13</v>
      </c>
      <c r="D47" s="8" t="n">
        <f aca="false">D14+IF(OR($B47="Créateur à petit prix",$B47="Agence"),1*Hypothèses!$B$16,IF($B47="ValoWeb",1*Hypothèses!$B$17,0))</f>
        <v>418.8</v>
      </c>
      <c r="E47" s="8" t="n">
        <f aca="false">E14+IF(OR($B47="Créateur à petit prix",$B47="Agence"),1*Hypothèses!$B$16,IF($B47="ValoWeb",1*Hypothèses!$B$17,0))</f>
        <v>1273.88307692308</v>
      </c>
      <c r="F47" s="8" t="n">
        <f aca="false">F14+IF(OR($B47="Créateur à petit prix",$B47="Agence"),1*Hypothèses!$B$16,IF($B47="ValoWeb",1*Hypothèses!$B$17,0))</f>
        <v>2370</v>
      </c>
      <c r="G47" s="8" t="n">
        <f aca="false">G14+IF(OR($B47="Créateur à petit prix",$B47="Agence"),2*Hypothèses!$B$16,IF($B47="ValoWeb",2*Hypothèses!$B$17,0))</f>
        <v>837.6</v>
      </c>
      <c r="H47" s="8" t="n">
        <f aca="false">H14+IF(OR($B47="Créateur à petit prix",$B47="Agence"),2*Hypothèses!$B$16,IF($B47="ValoWeb",2*Hypothèses!$B$17,0))</f>
        <v>2227.07384615385</v>
      </c>
      <c r="I47" s="8" t="n">
        <f aca="false">I14+IF(OR($B47="Créateur à petit prix",$B47="Agence"),2*Hypothèses!$B$16,IF($B47="ValoWeb",2*Hypothèses!$B$17,0))</f>
        <v>4050</v>
      </c>
      <c r="J47" s="8" t="n">
        <f aca="false">J14+IF(OR($B47="Créateur à petit prix",$B47="Agence"),3*Hypothèses!$B$16,IF($B47="ValoWeb",3*Hypothèses!$B$17,0))</f>
        <v>1256.4</v>
      </c>
      <c r="K47" s="8" t="n">
        <f aca="false">K14+IF(OR($B47="Créateur à petit prix",$B47="Agence"),3*Hypothèses!$B$16,IF($B47="ValoWeb",3*Hypothèses!$B$17,0))</f>
        <v>3050.26461538462</v>
      </c>
      <c r="L47" s="8" t="n">
        <f aca="false">L14+IF(OR($B47="Créateur à petit prix",$B47="Agence"),3*Hypothèses!$B$16,IF($B47="ValoWeb",3*Hypothèses!$B$17,0))</f>
        <v>5730</v>
      </c>
    </row>
    <row r="48" customFormat="false" ht="15" hidden="false" customHeight="false" outlineLevel="0" collapsed="false">
      <c r="A48" s="7" t="str">
        <f aca="false">A15</f>
        <v>Pro</v>
      </c>
      <c r="B48" s="7" t="str">
        <f aca="false">B15</f>
        <v>Agence</v>
      </c>
      <c r="C48" s="7" t="n">
        <f aca="false">C15</f>
        <v>19</v>
      </c>
      <c r="D48" s="8" t="n">
        <f aca="false">D15+IF(OR($B48="Créateur à petit prix",$B48="Agence"),1*Hypothèses!$B$16,IF($B48="ValoWeb",1*Hypothèses!$B$17,0))</f>
        <v>2321.42358837643</v>
      </c>
      <c r="E48" s="8" t="n">
        <f aca="false">E15+IF(OR($B48="Créateur à petit prix",$B48="Agence"),1*Hypothèses!$B$16,IF($B48="ValoWeb",1*Hypothèses!$B$17,0))</f>
        <v>5624.0551673238</v>
      </c>
      <c r="F48" s="8" t="n">
        <f aca="false">F15+IF(OR($B48="Créateur à petit prix",$B48="Agence"),1*Hypothèses!$B$16,IF($B48="ValoWeb",1*Hypothèses!$B$17,0))</f>
        <v>20821.4235883764</v>
      </c>
      <c r="G48" s="8" t="n">
        <f aca="false">G15+IF(OR($B48="Créateur à petit prix",$B48="Agence"),2*Hypothèses!$B$16,IF($B48="ValoWeb",2*Hypothèses!$B$17,0))</f>
        <v>3142.84717675287</v>
      </c>
      <c r="H48" s="8" t="n">
        <f aca="false">H15+IF(OR($B48="Créateur à petit prix",$B48="Agence"),2*Hypothèses!$B$16,IF($B48="ValoWeb",2*Hypothèses!$B$17,0))</f>
        <v>6445.47875570024</v>
      </c>
      <c r="I48" s="8" t="n">
        <f aca="false">I15+IF(OR($B48="Créateur à petit prix",$B48="Agence"),2*Hypothèses!$B$16,IF($B48="ValoWeb",2*Hypothèses!$B$17,0))</f>
        <v>21642.8471767529</v>
      </c>
      <c r="J48" s="8" t="n">
        <f aca="false">J15+IF(OR($B48="Créateur à petit prix",$B48="Agence"),3*Hypothèses!$B$16,IF($B48="ValoWeb",3*Hypothèses!$B$17,0))</f>
        <v>3964.2707651293</v>
      </c>
      <c r="K48" s="8" t="n">
        <f aca="false">K15+IF(OR($B48="Créateur à petit prix",$B48="Agence"),3*Hypothèses!$B$16,IF($B48="ValoWeb",3*Hypothèses!$B$17,0))</f>
        <v>7266.90234407667</v>
      </c>
      <c r="L48" s="8" t="n">
        <f aca="false">L15+IF(OR($B48="Créateur à petit prix",$B48="Agence"),3*Hypothèses!$B$16,IF($B48="ValoWeb",3*Hypothèses!$B$17,0))</f>
        <v>22464.2707651293</v>
      </c>
    </row>
    <row r="50" customFormat="false" ht="15" hidden="false" customHeight="false" outlineLevel="0" collapsed="false">
      <c r="A50" s="5" t="str">
        <f aca="false">A17</f>
        <v>Boutique</v>
      </c>
      <c r="B50" s="5" t="str">
        <f aca="false">B17</f>
        <v>ValoWeb</v>
      </c>
      <c r="C50" s="5" t="n">
        <f aca="false">C17</f>
        <v>1</v>
      </c>
      <c r="D50" s="6" t="n">
        <f aca="false">D17+IF(OR($B50="Créateur à petit prix",$B50="Agence"),1*Hypothèses!$B$16,IF($B50="ValoWeb",1*Hypothèses!$B$17,0))</f>
        <v>4686.47557451346</v>
      </c>
      <c r="E50" s="6" t="n">
        <f aca="false">E17+IF(OR($B50="Créateur à petit prix",$B50="Agence"),1*Hypothèses!$B$16,IF($B50="ValoWeb",1*Hypothèses!$B$17,0))</f>
        <v>4686.47557451346</v>
      </c>
      <c r="F50" s="6" t="n">
        <f aca="false">F17+IF(OR($B50="Créateur à petit prix",$B50="Agence"),1*Hypothèses!$B$16,IF($B50="ValoWeb",1*Hypothèses!$B$17,0))</f>
        <v>4686.47557451346</v>
      </c>
      <c r="G50" s="6" t="n">
        <f aca="false">G17+IF(OR($B50="Créateur à petit prix",$B50="Agence"),2*Hypothèses!$B$16,IF($B50="ValoWeb",2*Hypothèses!$B$17,0))</f>
        <v>4994.49473740336</v>
      </c>
      <c r="H50" s="6" t="n">
        <f aca="false">H17+IF(OR($B50="Créateur à petit prix",$B50="Agence"),2*Hypothèses!$B$16,IF($B50="ValoWeb",2*Hypothèses!$B$17,0))</f>
        <v>4994.49473740336</v>
      </c>
      <c r="I50" s="6" t="n">
        <f aca="false">I17+IF(OR($B50="Créateur à petit prix",$B50="Agence"),2*Hypothèses!$B$16,IF($B50="ValoWeb",2*Hypothèses!$B$17,0))</f>
        <v>4994.49473740336</v>
      </c>
      <c r="J50" s="6" t="n">
        <f aca="false">J17+IF(OR($B50="Créateur à petit prix",$B50="Agence"),3*Hypothèses!$B$16,IF($B50="ValoWeb",3*Hypothèses!$B$17,0))</f>
        <v>5302.51390029326</v>
      </c>
      <c r="K50" s="6" t="n">
        <f aca="false">K17+IF(OR($B50="Créateur à petit prix",$B50="Agence"),3*Hypothèses!$B$16,IF($B50="ValoWeb",3*Hypothèses!$B$17,0))</f>
        <v>5302.51390029326</v>
      </c>
      <c r="L50" s="6" t="n">
        <f aca="false">L17+IF(OR($B50="Créateur à petit prix",$B50="Agence"),3*Hypothèses!$B$16,IF($B50="ValoWeb",3*Hypothèses!$B$17,0))</f>
        <v>5302.51390029326</v>
      </c>
    </row>
    <row r="51" customFormat="false" ht="15" hidden="false" customHeight="false" outlineLevel="0" collapsed="false">
      <c r="A51" s="7" t="str">
        <f aca="false">A18</f>
        <v>Boutique</v>
      </c>
      <c r="B51" s="7" t="str">
        <f aca="false">B18</f>
        <v>Le faire soi-même</v>
      </c>
      <c r="C51" s="7" t="n">
        <f aca="false">C18</f>
        <v>15</v>
      </c>
      <c r="D51" s="8" t="n">
        <f aca="false">D18+IF(OR($B51="Créateur à petit prix",$B51="Agence"),1*Hypothèses!$B$16,IF($B51="ValoWeb",1*Hypothèses!$B$17,0))</f>
        <v>32.28</v>
      </c>
      <c r="E51" s="8" t="n">
        <f aca="false">E18+IF(OR($B51="Créateur à petit prix",$B51="Agence"),1*Hypothèses!$B$16,IF($B51="ValoWeb",1*Hypothèses!$B$17,0))</f>
        <v>372.426996534258</v>
      </c>
      <c r="F51" s="8" t="n">
        <f aca="false">F18+IF(OR($B51="Créateur à petit prix",$B51="Agence"),1*Hypothèses!$B$16,IF($B51="ValoWeb",1*Hypothèses!$B$17,0))</f>
        <v>1210.34358837643</v>
      </c>
      <c r="G51" s="8" t="n">
        <f aca="false">G18+IF(OR($B51="Créateur à petit prix",$B51="Agence"),2*Hypothèses!$B$16,IF($B51="ValoWeb",2*Hypothèses!$B$17,0))</f>
        <v>76.103588376433</v>
      </c>
      <c r="H51" s="8" t="n">
        <f aca="false">H18+IF(OR($B51="Créateur à petit prix",$B51="Agence"),2*Hypothèses!$B$16,IF($B51="ValoWeb",2*Hypothèses!$B$17,0))</f>
        <v>753.944034983264</v>
      </c>
      <c r="I51" s="8" t="n">
        <f aca="false">I18+IF(OR($B51="Créateur à petit prix",$B51="Agence"),2*Hypothèses!$B$16,IF($B51="ValoWeb",2*Hypothèses!$B$17,0))</f>
        <v>2420.68717675287</v>
      </c>
      <c r="J51" s="8" t="n">
        <f aca="false">J18+IF(OR($B51="Créateur à petit prix",$B51="Agence"),3*Hypothèses!$B$16,IF($B51="ValoWeb",3*Hypothèses!$B$17,0))</f>
        <v>119.927176752866</v>
      </c>
      <c r="K51" s="8" t="n">
        <f aca="false">K18+IF(OR($B51="Créateur à petit prix",$B51="Agence"),3*Hypothèses!$B$16,IF($B51="ValoWeb",3*Hypothèses!$B$17,0))</f>
        <v>1135.46107343227</v>
      </c>
      <c r="L51" s="8" t="n">
        <f aca="false">L18+IF(OR($B51="Créateur à petit prix",$B51="Agence"),3*Hypothèses!$B$16,IF($B51="ValoWeb",3*Hypothèses!$B$17,0))</f>
        <v>3631.0307651293</v>
      </c>
    </row>
    <row r="52" customFormat="false" ht="15" hidden="false" customHeight="false" outlineLevel="0" collapsed="false">
      <c r="A52" s="7" t="str">
        <f aca="false">A19</f>
        <v>Boutique</v>
      </c>
      <c r="B52" s="7" t="str">
        <f aca="false">B19</f>
        <v>Créateur à petit prix</v>
      </c>
      <c r="C52" s="7" t="n">
        <f aca="false">C19</f>
        <v>8</v>
      </c>
      <c r="D52" s="8" t="n">
        <f aca="false">D19+IF(OR($B52="Créateur à petit prix",$B52="Agence"),1*Hypothèses!$B$16,IF($B52="ValoWeb",1*Hypothèses!$B$17,0))</f>
        <v>2049.79</v>
      </c>
      <c r="E52" s="8" t="n">
        <f aca="false">E19+IF(OR($B52="Créateur à petit prix",$B52="Agence"),1*Hypothèses!$B$16,IF($B52="ValoWeb",1*Hypothèses!$B$17,0))</f>
        <v>3385.19125</v>
      </c>
      <c r="F52" s="8" t="n">
        <f aca="false">F19+IF(OR($B52="Créateur à petit prix",$B52="Agence"),1*Hypothèses!$B$16,IF($B52="ValoWeb",1*Hypothèses!$B$17,0))</f>
        <v>8859.79</v>
      </c>
      <c r="G52" s="8" t="n">
        <f aca="false">G19+IF(OR($B52="Créateur à petit prix",$B52="Agence"),2*Hypothèses!$B$16,IF($B52="ValoWeb",2*Hypothèses!$B$17,0))</f>
        <v>2909.58</v>
      </c>
      <c r="H52" s="8" t="n">
        <f aca="false">H19+IF(OR($B52="Créateur à petit prix",$B52="Agence"),2*Hypothèses!$B$16,IF($B52="ValoWeb",2*Hypothèses!$B$17,0))</f>
        <v>4247.2575</v>
      </c>
      <c r="I52" s="8" t="n">
        <f aca="false">I19+IF(OR($B52="Créateur à petit prix",$B52="Agence"),2*Hypothèses!$B$16,IF($B52="ValoWeb",2*Hypothèses!$B$17,0))</f>
        <v>9719.58</v>
      </c>
      <c r="J52" s="8" t="n">
        <f aca="false">J19+IF(OR($B52="Créateur à petit prix",$B52="Agence"),3*Hypothèses!$B$16,IF($B52="ValoWeb",3*Hypothèses!$B$17,0))</f>
        <v>3769.37</v>
      </c>
      <c r="K52" s="8" t="n">
        <f aca="false">K19+IF(OR($B52="Créateur à petit prix",$B52="Agence"),3*Hypothèses!$B$16,IF($B52="ValoWeb",3*Hypothèses!$B$17,0))</f>
        <v>5109.32375</v>
      </c>
      <c r="L52" s="8" t="n">
        <f aca="false">L19+IF(OR($B52="Créateur à petit prix",$B52="Agence"),3*Hypothèses!$B$16,IF($B52="ValoWeb",3*Hypothèses!$B$17,0))</f>
        <v>10579.37</v>
      </c>
    </row>
    <row r="53" customFormat="false" ht="15" hidden="false" customHeight="false" outlineLevel="0" collapsed="false">
      <c r="A53" s="7" t="str">
        <f aca="false">A20</f>
        <v>Boutique</v>
      </c>
      <c r="B53" s="7" t="str">
        <f aca="false">B20</f>
        <v>Abonnement tout compris</v>
      </c>
      <c r="C53" s="7" t="n">
        <f aca="false">C20</f>
        <v>5</v>
      </c>
      <c r="D53" s="8" t="n">
        <f aca="false">D20+IF(OR($B53="Créateur à petit prix",$B53="Agence"),1*Hypothèses!$B$16,IF($B53="ValoWeb",1*Hypothèses!$B$17,0))</f>
        <v>818.88</v>
      </c>
      <c r="E53" s="8" t="n">
        <f aca="false">E20+IF(OR($B53="Créateur à petit prix",$B53="Agence"),1*Hypothèses!$B$16,IF($B53="ValoWeb",1*Hypothèses!$B$17,0))</f>
        <v>1292.176</v>
      </c>
      <c r="F53" s="8" t="n">
        <f aca="false">F20+IF(OR($B53="Créateur à petit prix",$B53="Agence"),1*Hypothèses!$B$16,IF($B53="ValoWeb",1*Hypothèses!$B$17,0))</f>
        <v>1668</v>
      </c>
      <c r="G53" s="8" t="n">
        <f aca="false">G20+IF(OR($B53="Créateur à petit prix",$B53="Agence"),2*Hypothèses!$B$16,IF($B53="ValoWeb",2*Hypothèses!$B$17,0))</f>
        <v>1538.76</v>
      </c>
      <c r="H53" s="8" t="n">
        <f aca="false">H20+IF(OR($B53="Créateur à petit prix",$B53="Agence"),2*Hypothèses!$B$16,IF($B53="ValoWeb",2*Hypothèses!$B$17,0))</f>
        <v>2554.552</v>
      </c>
      <c r="I53" s="8" t="n">
        <f aca="false">I20+IF(OR($B53="Créateur à petit prix",$B53="Agence"),2*Hypothèses!$B$16,IF($B53="ValoWeb",2*Hypothèses!$B$17,0))</f>
        <v>3336</v>
      </c>
      <c r="J53" s="8" t="n">
        <f aca="false">J20+IF(OR($B53="Créateur à petit prix",$B53="Agence"),3*Hypothèses!$B$16,IF($B53="ValoWeb",3*Hypothèses!$B$17,0))</f>
        <v>2258.64</v>
      </c>
      <c r="K53" s="8" t="n">
        <f aca="false">K20+IF(OR($B53="Créateur à petit prix",$B53="Agence"),3*Hypothèses!$B$16,IF($B53="ValoWeb",3*Hypothèses!$B$17,0))</f>
        <v>3598.928</v>
      </c>
      <c r="L53" s="8" t="n">
        <f aca="false">L20+IF(OR($B53="Créateur à petit prix",$B53="Agence"),3*Hypothèses!$B$16,IF($B53="ValoWeb",3*Hypothèses!$B$17,0))</f>
        <v>5004</v>
      </c>
    </row>
    <row r="54" customFormat="false" ht="15" hidden="false" customHeight="false" outlineLevel="0" collapsed="false">
      <c r="A54" s="7" t="str">
        <f aca="false">A21</f>
        <v>Boutique</v>
      </c>
      <c r="B54" s="7" t="str">
        <f aca="false">B21</f>
        <v>Agence</v>
      </c>
      <c r="C54" s="7" t="n">
        <f aca="false">C21</f>
        <v>11</v>
      </c>
      <c r="D54" s="8" t="n">
        <f aca="false">D21+IF(OR($B54="Créateur à petit prix",$B54="Agence"),1*Hypothèses!$B$16,IF($B54="ValoWeb",1*Hypothèses!$B$17,0))</f>
        <v>3449.79</v>
      </c>
      <c r="E54" s="8" t="n">
        <f aca="false">E21+IF(OR($B54="Créateur à petit prix",$B54="Agence"),1*Hypothèses!$B$16,IF($B54="ValoWeb",1*Hypothèses!$B$17,0))</f>
        <v>8976.22254938077</v>
      </c>
      <c r="F54" s="8" t="n">
        <f aca="false">F21+IF(OR($B54="Créateur à petit prix",$B54="Agence"),1*Hypothèses!$B$16,IF($B54="ValoWeb",1*Hypothèses!$B$17,0))</f>
        <v>45859.79</v>
      </c>
      <c r="G54" s="8" t="n">
        <f aca="false">G21+IF(OR($B54="Créateur à petit prix",$B54="Agence"),2*Hypothèses!$B$16,IF($B54="ValoWeb",2*Hypothèses!$B$17,0))</f>
        <v>4309.58</v>
      </c>
      <c r="H54" s="8" t="n">
        <f aca="false">H21+IF(OR($B54="Créateur à petit prix",$B54="Agence"),2*Hypothèses!$B$16,IF($B54="ValoWeb",2*Hypothèses!$B$17,0))</f>
        <v>9877.89964421609</v>
      </c>
      <c r="I54" s="8" t="n">
        <f aca="false">I21+IF(OR($B54="Créateur à petit prix",$B54="Agence"),2*Hypothèses!$B$16,IF($B54="ValoWeb",2*Hypothèses!$B$17,0))</f>
        <v>46719.58</v>
      </c>
      <c r="J54" s="8" t="n">
        <f aca="false">J21+IF(OR($B54="Créateur à petit prix",$B54="Agence"),3*Hypothèses!$B$16,IF($B54="ValoWeb",3*Hypothèses!$B$17,0))</f>
        <v>5169.37</v>
      </c>
      <c r="K54" s="8" t="n">
        <f aca="false">K21+IF(OR($B54="Créateur à petit prix",$B54="Agence"),3*Hypothèses!$B$16,IF($B54="ValoWeb",3*Hypothèses!$B$17,0))</f>
        <v>10779.5767390514</v>
      </c>
      <c r="L54" s="8" t="n">
        <f aca="false">L21+IF(OR($B54="Créateur à petit prix",$B54="Agence"),3*Hypothèses!$B$16,IF($B54="ValoWeb",3*Hypothèses!$B$17,0))</f>
        <v>47579.37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3" min="2" style="0" width="14"/>
    <col collapsed="false" customWidth="true" hidden="false" outlineLevel="0" max="4" min="4" style="0" width="110"/>
  </cols>
  <sheetData>
    <row r="1" customFormat="false" ht="17.35" hidden="false" customHeight="false" outlineLevel="0" collapsed="false">
      <c r="A1" s="1" t="s">
        <v>42</v>
      </c>
    </row>
    <row r="3" customFormat="false" ht="15" hidden="false" customHeight="false" outlineLevel="0" collapsed="false">
      <c r="A3" s="9" t="s">
        <v>43</v>
      </c>
      <c r="B3" s="9" t="s">
        <v>44</v>
      </c>
      <c r="C3" s="9" t="s">
        <v>45</v>
      </c>
      <c r="D3" s="9" t="s">
        <v>46</v>
      </c>
    </row>
    <row r="4" customFormat="false" ht="15" hidden="false" customHeight="false" outlineLevel="0" collapsed="false">
      <c r="A4" s="3" t="s">
        <v>47</v>
      </c>
      <c r="B4" s="10" t="n">
        <v>1.1253</v>
      </c>
      <c r="C4" s="3" t="s">
        <v>48</v>
      </c>
      <c r="D4" s="3" t="s">
        <v>49</v>
      </c>
    </row>
    <row r="5" customFormat="false" ht="15" hidden="false" customHeight="false" outlineLevel="0" collapsed="false">
      <c r="A5" s="3" t="s">
        <v>50</v>
      </c>
      <c r="B5" s="11" t="n">
        <v>0.2</v>
      </c>
      <c r="C5" s="3" t="s">
        <v>51</v>
      </c>
      <c r="D5" s="3" t="s">
        <v>52</v>
      </c>
    </row>
    <row r="7" customFormat="false" ht="15" hidden="false" customHeight="false" outlineLevel="0" collapsed="false">
      <c r="A7" s="3" t="s">
        <v>53</v>
      </c>
      <c r="B7" s="12" t="n">
        <v>119.52</v>
      </c>
      <c r="C7" s="3" t="s">
        <v>54</v>
      </c>
      <c r="D7" s="3" t="s">
        <v>55</v>
      </c>
    </row>
    <row r="8" customFormat="false" ht="15" hidden="false" customHeight="false" outlineLevel="0" collapsed="false">
      <c r="A8" s="3" t="s">
        <v>56</v>
      </c>
      <c r="B8" s="13" t="n">
        <f aca="false">B7/4</f>
        <v>29.88</v>
      </c>
      <c r="C8" s="3" t="s">
        <v>57</v>
      </c>
      <c r="D8" s="3" t="s">
        <v>58</v>
      </c>
    </row>
    <row r="9" customFormat="false" ht="15" hidden="false" customHeight="false" outlineLevel="0" collapsed="false">
      <c r="A9" s="3" t="s">
        <v>59</v>
      </c>
      <c r="B9" s="12" t="n">
        <v>12.99</v>
      </c>
      <c r="C9" s="3" t="s">
        <v>60</v>
      </c>
      <c r="D9" s="3" t="s">
        <v>61</v>
      </c>
    </row>
    <row r="10" customFormat="false" ht="15" hidden="false" customHeight="false" outlineLevel="0" collapsed="false">
      <c r="A10" s="3" t="s">
        <v>62</v>
      </c>
      <c r="B10" s="13" t="n">
        <f aca="false">B9/B4</f>
        <v>11.543588376433</v>
      </c>
      <c r="C10" s="3" t="s">
        <v>57</v>
      </c>
      <c r="D10" s="3" t="s">
        <v>63</v>
      </c>
    </row>
    <row r="11" customFormat="false" ht="15" hidden="false" customHeight="false" outlineLevel="0" collapsed="false">
      <c r="A11" s="3" t="s">
        <v>64</v>
      </c>
      <c r="B11" s="12" t="n">
        <v>25</v>
      </c>
      <c r="C11" s="3" t="s">
        <v>65</v>
      </c>
      <c r="D11" s="3" t="s">
        <v>66</v>
      </c>
    </row>
    <row r="12" customFormat="false" ht="15" hidden="false" customHeight="false" outlineLevel="0" collapsed="false">
      <c r="A12" s="3" t="s">
        <v>67</v>
      </c>
      <c r="B12" s="13" t="n">
        <f aca="false">B11/B4*12</f>
        <v>266.595574513463</v>
      </c>
      <c r="C12" s="3" t="s">
        <v>57</v>
      </c>
      <c r="D12" s="3" t="s">
        <v>68</v>
      </c>
    </row>
    <row r="13" customFormat="false" ht="15" hidden="false" customHeight="false" outlineLevel="0" collapsed="false">
      <c r="A13" s="3" t="s">
        <v>69</v>
      </c>
      <c r="B13" s="13" t="n">
        <f aca="false">B8+B10</f>
        <v>41.423588376433</v>
      </c>
      <c r="C13" s="3" t="s">
        <v>57</v>
      </c>
      <c r="D13" s="3" t="s">
        <v>70</v>
      </c>
    </row>
    <row r="14" customFormat="false" ht="15" hidden="false" customHeight="false" outlineLevel="0" collapsed="false">
      <c r="A14" s="3" t="s">
        <v>71</v>
      </c>
      <c r="B14" s="13" t="n">
        <f aca="false">72+7.79</f>
        <v>79.79</v>
      </c>
      <c r="C14" s="3" t="s">
        <v>57</v>
      </c>
      <c r="D14" s="3" t="s">
        <v>72</v>
      </c>
    </row>
    <row r="15" customFormat="false" ht="15" hidden="false" customHeight="false" outlineLevel="0" collapsed="false">
      <c r="A15" s="3" t="s">
        <v>73</v>
      </c>
      <c r="B15" s="13" t="n">
        <f aca="false">29/B4*12</f>
        <v>309.250866435617</v>
      </c>
      <c r="C15" s="3" t="s">
        <v>57</v>
      </c>
      <c r="D15" s="3" t="s">
        <v>74</v>
      </c>
    </row>
    <row r="16" customFormat="false" ht="15" hidden="false" customHeight="false" outlineLevel="0" collapsed="false">
      <c r="A16" s="3" t="s">
        <v>75</v>
      </c>
      <c r="B16" s="13" t="n">
        <f aca="false">Maintenance!$E$20</f>
        <v>780</v>
      </c>
      <c r="C16" s="3" t="s">
        <v>57</v>
      </c>
      <c r="D16" s="3" t="s">
        <v>76</v>
      </c>
    </row>
    <row r="17" customFormat="false" ht="15" hidden="false" customHeight="false" outlineLevel="0" collapsed="false">
      <c r="A17" s="3" t="s">
        <v>77</v>
      </c>
      <c r="B17" s="12" t="n">
        <v>0</v>
      </c>
      <c r="C17" s="3" t="s">
        <v>57</v>
      </c>
      <c r="D17" s="3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1" topLeftCell="E2" activePane="bottomRight" state="frozen"/>
      <selection pane="topLeft" activeCell="A1" activeCellId="0" sqref="A1"/>
      <selection pane="topRight" activeCell="E1" activeCellId="0" sqref="E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3" min="3" style="0" width="10"/>
    <col collapsed="false" customWidth="true" hidden="false" outlineLevel="0" max="4" min="4" style="0" width="26"/>
    <col collapsed="false" customWidth="true" hidden="false" outlineLevel="0" max="5" min="5" style="0" width="30"/>
    <col collapsed="false" customWidth="true" hidden="false" outlineLevel="0" max="11" min="6" style="0" width="12"/>
    <col collapsed="false" customWidth="true" hidden="false" outlineLevel="0" max="12" min="12" style="0" width="16"/>
    <col collapsed="false" customWidth="true" hidden="false" outlineLevel="0" max="21" min="13" style="0" width="12"/>
    <col collapsed="false" customWidth="true" hidden="false" outlineLevel="0" max="22" min="22" style="0" width="60"/>
    <col collapsed="false" customWidth="true" hidden="false" outlineLevel="0" max="23" min="23" style="0" width="50"/>
    <col collapsed="false" customWidth="true" hidden="false" outlineLevel="0" max="24" min="24" style="0" width="30"/>
    <col collapsed="false" customWidth="true" hidden="false" outlineLevel="0" max="25" min="25" style="0" width="12"/>
    <col collapsed="false" customWidth="true" hidden="false" outlineLevel="0" max="26" min="26" style="0" width="24"/>
  </cols>
  <sheetData>
    <row r="1" customFormat="false" ht="45" hidden="false" customHeight="true" outlineLevel="0" collapsed="false">
      <c r="A1" s="14" t="s">
        <v>79</v>
      </c>
      <c r="B1" s="14" t="s">
        <v>19</v>
      </c>
      <c r="C1" s="14" t="s">
        <v>18</v>
      </c>
      <c r="D1" s="14" t="s">
        <v>80</v>
      </c>
      <c r="E1" s="14" t="s">
        <v>81</v>
      </c>
      <c r="F1" s="14" t="s">
        <v>82</v>
      </c>
      <c r="G1" s="14" t="s">
        <v>83</v>
      </c>
      <c r="H1" s="14" t="s">
        <v>84</v>
      </c>
      <c r="I1" s="14" t="s">
        <v>85</v>
      </c>
      <c r="J1" s="14" t="s">
        <v>86</v>
      </c>
      <c r="K1" s="14" t="s">
        <v>87</v>
      </c>
      <c r="L1" s="14" t="s">
        <v>88</v>
      </c>
      <c r="M1" s="14" t="s">
        <v>89</v>
      </c>
      <c r="N1" s="14" t="s">
        <v>90</v>
      </c>
      <c r="O1" s="14" t="s">
        <v>91</v>
      </c>
      <c r="P1" s="14" t="s">
        <v>92</v>
      </c>
      <c r="Q1" s="14" t="s">
        <v>93</v>
      </c>
      <c r="R1" s="14" t="s">
        <v>94</v>
      </c>
      <c r="S1" s="14" t="s">
        <v>95</v>
      </c>
      <c r="T1" s="14" t="s">
        <v>96</v>
      </c>
      <c r="U1" s="14" t="s">
        <v>97</v>
      </c>
      <c r="V1" s="14" t="s">
        <v>98</v>
      </c>
      <c r="W1" s="14" t="s">
        <v>99</v>
      </c>
      <c r="X1" s="14" t="s">
        <v>100</v>
      </c>
      <c r="Y1" s="14" t="s">
        <v>101</v>
      </c>
      <c r="Z1" s="14" t="s">
        <v>102</v>
      </c>
    </row>
    <row r="2" customFormat="false" ht="15" hidden="false" customHeight="false" outlineLevel="0" collapsed="false">
      <c r="A2" s="15" t="n">
        <v>1</v>
      </c>
      <c r="B2" s="15" t="s">
        <v>31</v>
      </c>
      <c r="C2" s="15" t="s">
        <v>30</v>
      </c>
      <c r="D2" s="15" t="s">
        <v>31</v>
      </c>
      <c r="E2" s="15" t="s">
        <v>103</v>
      </c>
      <c r="F2" s="16" t="n">
        <v>890</v>
      </c>
      <c r="G2" s="16" t="n">
        <v>890</v>
      </c>
      <c r="H2" s="16" t="n">
        <v>0</v>
      </c>
      <c r="I2" s="17" t="n">
        <f aca="false">Hypothèses!$B$8</f>
        <v>29.88</v>
      </c>
      <c r="J2" s="17" t="n">
        <f aca="false">Hypothèses!$B$8+Hypothèses!$B$10</f>
        <v>41.423588376433</v>
      </c>
      <c r="K2" s="18" t="n">
        <f aca="false">H2</f>
        <v>0</v>
      </c>
      <c r="L2" s="15" t="s">
        <v>104</v>
      </c>
      <c r="M2" s="19" t="n">
        <f aca="false">F2+12*H2+I2</f>
        <v>919.88</v>
      </c>
      <c r="N2" s="19" t="n">
        <f aca="false">G2+12*H2+I2</f>
        <v>919.88</v>
      </c>
      <c r="O2" s="19" t="n">
        <f aca="false">M2+12*H2+J2</f>
        <v>961.303588376433</v>
      </c>
      <c r="P2" s="19" t="n">
        <f aca="false">N2+12*H2+J2</f>
        <v>961.303588376433</v>
      </c>
      <c r="Q2" s="19" t="n">
        <f aca="false">O2+12*K2+J2</f>
        <v>1002.72717675287</v>
      </c>
      <c r="R2" s="19" t="n">
        <f aca="false">P2+12*K2+J2</f>
        <v>1002.72717675287</v>
      </c>
      <c r="S2" s="19" t="n">
        <f aca="false">(M2+N2)/2</f>
        <v>919.88</v>
      </c>
      <c r="T2" s="19" t="n">
        <f aca="false">(O2+P2)/2</f>
        <v>961.303588376433</v>
      </c>
      <c r="U2" s="19" t="n">
        <f aca="false">(Q2+R2)/2</f>
        <v>1002.72717675287</v>
      </c>
      <c r="V2" s="15" t="s">
        <v>105</v>
      </c>
      <c r="W2" s="15" t="s">
        <v>106</v>
      </c>
      <c r="X2" s="15" t="s">
        <v>107</v>
      </c>
      <c r="Y2" s="15" t="s">
        <v>108</v>
      </c>
      <c r="Z2" s="15" t="s">
        <v>109</v>
      </c>
    </row>
    <row r="3" customFormat="false" ht="15" hidden="false" customHeight="false" outlineLevel="0" collapsed="false">
      <c r="A3" s="7" t="n">
        <v>2</v>
      </c>
      <c r="B3" s="7" t="s">
        <v>32</v>
      </c>
      <c r="C3" s="7" t="s">
        <v>30</v>
      </c>
      <c r="D3" s="7" t="s">
        <v>110</v>
      </c>
      <c r="E3" s="7" t="s">
        <v>111</v>
      </c>
      <c r="F3" s="20" t="n">
        <v>0</v>
      </c>
      <c r="G3" s="20" t="n">
        <v>0</v>
      </c>
      <c r="H3" s="21" t="n">
        <f aca="false">16.8/1.2</f>
        <v>14</v>
      </c>
      <c r="I3" s="20" t="n">
        <v>0</v>
      </c>
      <c r="J3" s="21" t="n">
        <f aca="false">14.95/1.2</f>
        <v>12.4583333333333</v>
      </c>
      <c r="K3" s="21" t="n">
        <f aca="false">H3</f>
        <v>14</v>
      </c>
      <c r="L3" s="7" t="s">
        <v>112</v>
      </c>
      <c r="M3" s="8" t="n">
        <f aca="false">F3+12*H3+I3</f>
        <v>168</v>
      </c>
      <c r="N3" s="8" t="n">
        <f aca="false">G3+12*H3+I3</f>
        <v>168</v>
      </c>
      <c r="O3" s="8" t="n">
        <f aca="false">M3+12*H3+J3</f>
        <v>348.458333333333</v>
      </c>
      <c r="P3" s="8" t="n">
        <f aca="false">N3+12*H3+J3</f>
        <v>348.458333333333</v>
      </c>
      <c r="Q3" s="8" t="n">
        <f aca="false">O3+12*K3+J3</f>
        <v>528.916666666667</v>
      </c>
      <c r="R3" s="8" t="n">
        <f aca="false">P3+12*K3+J3</f>
        <v>528.916666666667</v>
      </c>
      <c r="S3" s="8" t="n">
        <f aca="false">(M3+N3)/2</f>
        <v>168</v>
      </c>
      <c r="T3" s="8" t="n">
        <f aca="false">(O3+P3)/2</f>
        <v>348.458333333333</v>
      </c>
      <c r="U3" s="8" t="n">
        <f aca="false">(Q3+R3)/2</f>
        <v>528.916666666667</v>
      </c>
      <c r="V3" s="7" t="s">
        <v>113</v>
      </c>
      <c r="W3" s="22" t="s">
        <v>114</v>
      </c>
      <c r="X3" s="7" t="s">
        <v>115</v>
      </c>
      <c r="Y3" s="7" t="s">
        <v>108</v>
      </c>
      <c r="Z3" s="7" t="s">
        <v>116</v>
      </c>
    </row>
    <row r="4" customFormat="false" ht="15" hidden="false" customHeight="false" outlineLevel="0" collapsed="false">
      <c r="A4" s="7" t="n">
        <v>3</v>
      </c>
      <c r="B4" s="7" t="s">
        <v>32</v>
      </c>
      <c r="C4" s="7" t="s">
        <v>30</v>
      </c>
      <c r="D4" s="7" t="s">
        <v>117</v>
      </c>
      <c r="E4" s="7" t="s">
        <v>118</v>
      </c>
      <c r="F4" s="20" t="n">
        <v>0</v>
      </c>
      <c r="G4" s="20" t="n">
        <v>0</v>
      </c>
      <c r="H4" s="21" t="n">
        <f aca="false">144/12</f>
        <v>12</v>
      </c>
      <c r="I4" s="20" t="n">
        <v>0</v>
      </c>
      <c r="J4" s="23" t="n">
        <f aca="false">Hypothèses!$B$10</f>
        <v>11.543588376433</v>
      </c>
      <c r="K4" s="21" t="n">
        <f aca="false">H4</f>
        <v>12</v>
      </c>
      <c r="L4" s="7" t="s">
        <v>112</v>
      </c>
      <c r="M4" s="8" t="n">
        <f aca="false">F4+12*H4+I4</f>
        <v>144</v>
      </c>
      <c r="N4" s="8" t="n">
        <f aca="false">G4+12*H4+I4</f>
        <v>144</v>
      </c>
      <c r="O4" s="8" t="n">
        <f aca="false">M4+12*H4+J4</f>
        <v>299.543588376433</v>
      </c>
      <c r="P4" s="8" t="n">
        <f aca="false">N4+12*H4+J4</f>
        <v>299.543588376433</v>
      </c>
      <c r="Q4" s="8" t="n">
        <f aca="false">O4+12*K4+J4</f>
        <v>455.087176752866</v>
      </c>
      <c r="R4" s="8" t="n">
        <f aca="false">P4+12*K4+J4</f>
        <v>455.087176752866</v>
      </c>
      <c r="S4" s="8" t="n">
        <f aca="false">(M4+N4)/2</f>
        <v>144</v>
      </c>
      <c r="T4" s="8" t="n">
        <f aca="false">(O4+P4)/2</f>
        <v>299.543588376433</v>
      </c>
      <c r="U4" s="8" t="n">
        <f aca="false">(Q4+R4)/2</f>
        <v>455.087176752866</v>
      </c>
      <c r="V4" s="7" t="s">
        <v>119</v>
      </c>
      <c r="W4" s="22" t="s">
        <v>120</v>
      </c>
      <c r="X4" s="7" t="s">
        <v>121</v>
      </c>
      <c r="Y4" s="7" t="s">
        <v>108</v>
      </c>
      <c r="Z4" s="7" t="s">
        <v>116</v>
      </c>
    </row>
    <row r="5" customFormat="false" ht="15" hidden="false" customHeight="false" outlineLevel="0" collapsed="false">
      <c r="A5" s="7" t="n">
        <v>4</v>
      </c>
      <c r="B5" s="7" t="s">
        <v>32</v>
      </c>
      <c r="C5" s="7" t="s">
        <v>30</v>
      </c>
      <c r="D5" s="7" t="s">
        <v>122</v>
      </c>
      <c r="E5" s="7" t="s">
        <v>123</v>
      </c>
      <c r="F5" s="20" t="n">
        <v>0</v>
      </c>
      <c r="G5" s="20" t="n">
        <v>0</v>
      </c>
      <c r="H5" s="21" t="n">
        <f aca="false">9</f>
        <v>9</v>
      </c>
      <c r="I5" s="20" t="n">
        <v>0</v>
      </c>
      <c r="J5" s="23" t="n">
        <f aca="false">Hypothèses!$B$10</f>
        <v>11.543588376433</v>
      </c>
      <c r="K5" s="21" t="n">
        <f aca="false">H5</f>
        <v>9</v>
      </c>
      <c r="L5" s="7" t="s">
        <v>112</v>
      </c>
      <c r="M5" s="8" t="n">
        <f aca="false">F5+12*H5+I5</f>
        <v>108</v>
      </c>
      <c r="N5" s="8" t="n">
        <f aca="false">G5+12*H5+I5</f>
        <v>108</v>
      </c>
      <c r="O5" s="8" t="n">
        <f aca="false">M5+12*H5+J5</f>
        <v>227.543588376433</v>
      </c>
      <c r="P5" s="8" t="n">
        <f aca="false">N5+12*H5+J5</f>
        <v>227.543588376433</v>
      </c>
      <c r="Q5" s="8" t="n">
        <f aca="false">O5+12*K5+J5</f>
        <v>347.087176752866</v>
      </c>
      <c r="R5" s="8" t="n">
        <f aca="false">P5+12*K5+J5</f>
        <v>347.087176752866</v>
      </c>
      <c r="S5" s="8" t="n">
        <f aca="false">(M5+N5)/2</f>
        <v>108</v>
      </c>
      <c r="T5" s="8" t="n">
        <f aca="false">(O5+P5)/2</f>
        <v>227.543588376433</v>
      </c>
      <c r="U5" s="8" t="n">
        <f aca="false">(Q5+R5)/2</f>
        <v>347.087176752866</v>
      </c>
      <c r="V5" s="7" t="s">
        <v>124</v>
      </c>
      <c r="W5" s="22" t="s">
        <v>120</v>
      </c>
      <c r="X5" s="7" t="s">
        <v>121</v>
      </c>
      <c r="Y5" s="7" t="s">
        <v>108</v>
      </c>
      <c r="Z5" s="7" t="s">
        <v>116</v>
      </c>
    </row>
    <row r="6" customFormat="false" ht="15" hidden="false" customHeight="false" outlineLevel="0" collapsed="false">
      <c r="A6" s="7" t="n">
        <v>5</v>
      </c>
      <c r="B6" s="7" t="s">
        <v>32</v>
      </c>
      <c r="C6" s="7" t="s">
        <v>30</v>
      </c>
      <c r="D6" s="7" t="s">
        <v>125</v>
      </c>
      <c r="E6" s="7" t="s">
        <v>126</v>
      </c>
      <c r="F6" s="20" t="n">
        <v>0</v>
      </c>
      <c r="G6" s="20" t="n">
        <v>0</v>
      </c>
      <c r="H6" s="21" t="n">
        <f aca="false">5.5</f>
        <v>5.5</v>
      </c>
      <c r="I6" s="20" t="n">
        <v>0</v>
      </c>
      <c r="J6" s="21" t="n">
        <f aca="false">20</f>
        <v>20</v>
      </c>
      <c r="K6" s="21" t="n">
        <f aca="false">H6</f>
        <v>5.5</v>
      </c>
      <c r="L6" s="7" t="s">
        <v>112</v>
      </c>
      <c r="M6" s="8" t="n">
        <f aca="false">F6+12*H6+I6</f>
        <v>66</v>
      </c>
      <c r="N6" s="8" t="n">
        <f aca="false">G6+12*H6+I6</f>
        <v>66</v>
      </c>
      <c r="O6" s="8" t="n">
        <f aca="false">M6+12*H6+J6</f>
        <v>152</v>
      </c>
      <c r="P6" s="8" t="n">
        <f aca="false">N6+12*H6+J6</f>
        <v>152</v>
      </c>
      <c r="Q6" s="8" t="n">
        <f aca="false">O6+12*K6+J6</f>
        <v>238</v>
      </c>
      <c r="R6" s="8" t="n">
        <f aca="false">P6+12*K6+J6</f>
        <v>238</v>
      </c>
      <c r="S6" s="8" t="n">
        <f aca="false">(M6+N6)/2</f>
        <v>66</v>
      </c>
      <c r="T6" s="8" t="n">
        <f aca="false">(O6+P6)/2</f>
        <v>152</v>
      </c>
      <c r="U6" s="8" t="n">
        <f aca="false">(Q6+R6)/2</f>
        <v>238</v>
      </c>
      <c r="V6" s="7" t="s">
        <v>127</v>
      </c>
      <c r="W6" s="22" t="s">
        <v>128</v>
      </c>
      <c r="X6" s="7" t="s">
        <v>129</v>
      </c>
      <c r="Y6" s="7" t="s">
        <v>108</v>
      </c>
      <c r="Z6" s="7" t="s">
        <v>116</v>
      </c>
    </row>
    <row r="7" customFormat="false" ht="15" hidden="false" customHeight="false" outlineLevel="0" collapsed="false">
      <c r="A7" s="7" t="n">
        <v>6</v>
      </c>
      <c r="B7" s="7" t="s">
        <v>32</v>
      </c>
      <c r="C7" s="7" t="s">
        <v>30</v>
      </c>
      <c r="D7" s="7" t="s">
        <v>130</v>
      </c>
      <c r="E7" s="7" t="s">
        <v>131</v>
      </c>
      <c r="F7" s="20" t="n">
        <v>0</v>
      </c>
      <c r="G7" s="20" t="n">
        <v>0</v>
      </c>
      <c r="H7" s="23" t="n">
        <f aca="false">4/Hypothèses!$B$4</f>
        <v>3.55460766017951</v>
      </c>
      <c r="I7" s="20" t="n">
        <v>0</v>
      </c>
      <c r="J7" s="23" t="n">
        <f aca="false">Hypothèses!$B$10</f>
        <v>11.543588376433</v>
      </c>
      <c r="K7" s="21" t="n">
        <f aca="false">H7</f>
        <v>3.55460766017951</v>
      </c>
      <c r="L7" s="7" t="s">
        <v>112</v>
      </c>
      <c r="M7" s="8" t="n">
        <f aca="false">F7+12*H7+I7</f>
        <v>42.6552919221541</v>
      </c>
      <c r="N7" s="8" t="n">
        <f aca="false">G7+12*H7+I7</f>
        <v>42.6552919221541</v>
      </c>
      <c r="O7" s="8" t="n">
        <f aca="false">M7+12*H7+J7</f>
        <v>96.8541722207411</v>
      </c>
      <c r="P7" s="8" t="n">
        <f aca="false">N7+12*H7+J7</f>
        <v>96.8541722207411</v>
      </c>
      <c r="Q7" s="8" t="n">
        <f aca="false">O7+12*K7+J7</f>
        <v>151.053052519328</v>
      </c>
      <c r="R7" s="8" t="n">
        <f aca="false">P7+12*K7+J7</f>
        <v>151.053052519328</v>
      </c>
      <c r="S7" s="8" t="n">
        <f aca="false">(M7+N7)/2</f>
        <v>42.6552919221541</v>
      </c>
      <c r="T7" s="8" t="n">
        <f aca="false">(O7+P7)/2</f>
        <v>96.8541722207411</v>
      </c>
      <c r="U7" s="8" t="n">
        <f aca="false">(Q7+R7)/2</f>
        <v>151.053052519328</v>
      </c>
      <c r="V7" s="7" t="s">
        <v>132</v>
      </c>
      <c r="W7" s="22" t="s">
        <v>133</v>
      </c>
      <c r="X7" s="7" t="s">
        <v>134</v>
      </c>
      <c r="Y7" s="7" t="s">
        <v>108</v>
      </c>
      <c r="Z7" s="7" t="s">
        <v>116</v>
      </c>
    </row>
    <row r="8" customFormat="false" ht="15" hidden="false" customHeight="false" outlineLevel="0" collapsed="false">
      <c r="A8" s="7" t="n">
        <v>7</v>
      </c>
      <c r="B8" s="7" t="s">
        <v>32</v>
      </c>
      <c r="C8" s="7" t="s">
        <v>30</v>
      </c>
      <c r="D8" s="7" t="s">
        <v>135</v>
      </c>
      <c r="E8" s="7" t="s">
        <v>136</v>
      </c>
      <c r="F8" s="20" t="n">
        <v>0</v>
      </c>
      <c r="G8" s="20" t="n">
        <v>0</v>
      </c>
      <c r="H8" s="21" t="n">
        <f aca="false">5.99</f>
        <v>5.99</v>
      </c>
      <c r="I8" s="20" t="n">
        <v>0</v>
      </c>
      <c r="J8" s="23" t="n">
        <f aca="false">Hypothèses!$B$10</f>
        <v>11.543588376433</v>
      </c>
      <c r="K8" s="21" t="n">
        <f aca="false">H8</f>
        <v>5.99</v>
      </c>
      <c r="L8" s="7" t="s">
        <v>112</v>
      </c>
      <c r="M8" s="8" t="n">
        <f aca="false">F8+12*H8+I8</f>
        <v>71.88</v>
      </c>
      <c r="N8" s="8" t="n">
        <f aca="false">G8+12*H8+I8</f>
        <v>71.88</v>
      </c>
      <c r="O8" s="8" t="n">
        <f aca="false">M8+12*H8+J8</f>
        <v>155.303588376433</v>
      </c>
      <c r="P8" s="8" t="n">
        <f aca="false">N8+12*H8+J8</f>
        <v>155.303588376433</v>
      </c>
      <c r="Q8" s="8" t="n">
        <f aca="false">O8+12*K8+J8</f>
        <v>238.727176752866</v>
      </c>
      <c r="R8" s="8" t="n">
        <f aca="false">P8+12*K8+J8</f>
        <v>238.727176752866</v>
      </c>
      <c r="S8" s="8" t="n">
        <f aca="false">(M8+N8)/2</f>
        <v>71.88</v>
      </c>
      <c r="T8" s="8" t="n">
        <f aca="false">(O8+P8)/2</f>
        <v>155.303588376433</v>
      </c>
      <c r="U8" s="8" t="n">
        <f aca="false">(Q8+R8)/2</f>
        <v>238.727176752866</v>
      </c>
      <c r="V8" s="7" t="s">
        <v>137</v>
      </c>
      <c r="W8" s="22" t="s">
        <v>138</v>
      </c>
      <c r="X8" s="7" t="s">
        <v>139</v>
      </c>
      <c r="Y8" s="7" t="s">
        <v>108</v>
      </c>
      <c r="Z8" s="7" t="s">
        <v>116</v>
      </c>
    </row>
    <row r="9" customFormat="false" ht="15" hidden="false" customHeight="false" outlineLevel="0" collapsed="false">
      <c r="A9" s="7" t="n">
        <v>8</v>
      </c>
      <c r="B9" s="7" t="s">
        <v>32</v>
      </c>
      <c r="C9" s="7" t="s">
        <v>30</v>
      </c>
      <c r="D9" s="7" t="s">
        <v>140</v>
      </c>
      <c r="E9" s="7" t="s">
        <v>36</v>
      </c>
      <c r="F9" s="20" t="n">
        <v>0</v>
      </c>
      <c r="G9" s="20" t="n">
        <v>0</v>
      </c>
      <c r="H9" s="21" t="n">
        <f aca="false">5</f>
        <v>5</v>
      </c>
      <c r="I9" s="20" t="n">
        <v>0</v>
      </c>
      <c r="J9" s="23" t="n">
        <f aca="false">Hypothèses!$B$10</f>
        <v>11.543588376433</v>
      </c>
      <c r="K9" s="21" t="n">
        <f aca="false">H9</f>
        <v>5</v>
      </c>
      <c r="L9" s="7" t="s">
        <v>112</v>
      </c>
      <c r="M9" s="8" t="n">
        <f aca="false">F9+12*H9+I9</f>
        <v>60</v>
      </c>
      <c r="N9" s="8" t="n">
        <f aca="false">G9+12*H9+I9</f>
        <v>60</v>
      </c>
      <c r="O9" s="8" t="n">
        <f aca="false">M9+12*H9+J9</f>
        <v>131.543588376433</v>
      </c>
      <c r="P9" s="8" t="n">
        <f aca="false">N9+12*H9+J9</f>
        <v>131.543588376433</v>
      </c>
      <c r="Q9" s="8" t="n">
        <f aca="false">O9+12*K9+J9</f>
        <v>203.087176752866</v>
      </c>
      <c r="R9" s="8" t="n">
        <f aca="false">P9+12*K9+J9</f>
        <v>203.087176752866</v>
      </c>
      <c r="S9" s="8" t="n">
        <f aca="false">(M9+N9)/2</f>
        <v>60</v>
      </c>
      <c r="T9" s="8" t="n">
        <f aca="false">(O9+P9)/2</f>
        <v>131.543588376433</v>
      </c>
      <c r="U9" s="8" t="n">
        <f aca="false">(Q9+R9)/2</f>
        <v>203.087176752866</v>
      </c>
      <c r="V9" s="7" t="s">
        <v>137</v>
      </c>
      <c r="W9" s="22" t="s">
        <v>138</v>
      </c>
      <c r="X9" s="7" t="s">
        <v>139</v>
      </c>
      <c r="Y9" s="7" t="s">
        <v>108</v>
      </c>
      <c r="Z9" s="7" t="s">
        <v>116</v>
      </c>
    </row>
    <row r="10" customFormat="false" ht="15" hidden="false" customHeight="false" outlineLevel="0" collapsed="false">
      <c r="A10" s="7" t="n">
        <v>9</v>
      </c>
      <c r="B10" s="7" t="s">
        <v>32</v>
      </c>
      <c r="C10" s="7" t="s">
        <v>30</v>
      </c>
      <c r="D10" s="7" t="s">
        <v>141</v>
      </c>
      <c r="E10" s="7" t="s">
        <v>30</v>
      </c>
      <c r="F10" s="20" t="n">
        <v>0</v>
      </c>
      <c r="G10" s="20" t="n">
        <v>0</v>
      </c>
      <c r="H10" s="21" t="n">
        <f aca="false">6.6</f>
        <v>6.6</v>
      </c>
      <c r="I10" s="20" t="n">
        <v>0</v>
      </c>
      <c r="J10" s="23" t="n">
        <f aca="false">Hypothèses!$B$10</f>
        <v>11.543588376433</v>
      </c>
      <c r="K10" s="21" t="n">
        <f aca="false">H10</f>
        <v>6.6</v>
      </c>
      <c r="L10" s="7" t="s">
        <v>112</v>
      </c>
      <c r="M10" s="8" t="n">
        <f aca="false">F10+12*H10+I10</f>
        <v>79.2</v>
      </c>
      <c r="N10" s="8" t="n">
        <f aca="false">G10+12*H10+I10</f>
        <v>79.2</v>
      </c>
      <c r="O10" s="8" t="n">
        <f aca="false">M10+12*H10+J10</f>
        <v>169.943588376433</v>
      </c>
      <c r="P10" s="8" t="n">
        <f aca="false">N10+12*H10+J10</f>
        <v>169.943588376433</v>
      </c>
      <c r="Q10" s="8" t="n">
        <f aca="false">O10+12*K10+J10</f>
        <v>260.687176752866</v>
      </c>
      <c r="R10" s="8" t="n">
        <f aca="false">P10+12*K10+J10</f>
        <v>260.687176752866</v>
      </c>
      <c r="S10" s="8" t="n">
        <f aca="false">(M10+N10)/2</f>
        <v>79.2</v>
      </c>
      <c r="T10" s="8" t="n">
        <f aca="false">(O10+P10)/2</f>
        <v>169.943588376433</v>
      </c>
      <c r="U10" s="8" t="n">
        <f aca="false">(Q10+R10)/2</f>
        <v>260.687176752866</v>
      </c>
      <c r="V10" s="7" t="s">
        <v>137</v>
      </c>
      <c r="W10" s="22" t="s">
        <v>138</v>
      </c>
      <c r="X10" s="7" t="s">
        <v>139</v>
      </c>
      <c r="Y10" s="7" t="s">
        <v>108</v>
      </c>
      <c r="Z10" s="7" t="s">
        <v>116</v>
      </c>
    </row>
    <row r="11" customFormat="false" ht="15" hidden="false" customHeight="false" outlineLevel="0" collapsed="false">
      <c r="A11" s="7" t="n">
        <v>10</v>
      </c>
      <c r="B11" s="7" t="s">
        <v>32</v>
      </c>
      <c r="C11" s="7" t="s">
        <v>30</v>
      </c>
      <c r="D11" s="7" t="s">
        <v>142</v>
      </c>
      <c r="E11" s="7" t="s">
        <v>143</v>
      </c>
      <c r="F11" s="20" t="n">
        <v>0</v>
      </c>
      <c r="G11" s="20" t="n">
        <v>0</v>
      </c>
      <c r="H11" s="23" t="n">
        <f aca="false">10/Hypothèses!$B$4</f>
        <v>8.88651915044877</v>
      </c>
      <c r="I11" s="20" t="n">
        <v>0</v>
      </c>
      <c r="J11" s="23" t="n">
        <f aca="false">Hypothèses!$B$10</f>
        <v>11.543588376433</v>
      </c>
      <c r="K11" s="21" t="n">
        <f aca="false">H11</f>
        <v>8.88651915044877</v>
      </c>
      <c r="L11" s="7" t="s">
        <v>112</v>
      </c>
      <c r="M11" s="8" t="n">
        <f aca="false">F11+12*H11+I11</f>
        <v>106.638229805385</v>
      </c>
      <c r="N11" s="8" t="n">
        <f aca="false">G11+12*H11+I11</f>
        <v>106.638229805385</v>
      </c>
      <c r="O11" s="8" t="n">
        <f aca="false">M11+12*H11+J11</f>
        <v>224.820047987203</v>
      </c>
      <c r="P11" s="8" t="n">
        <f aca="false">N11+12*H11+J11</f>
        <v>224.820047987203</v>
      </c>
      <c r="Q11" s="8" t="n">
        <f aca="false">O11+12*K11+J11</f>
        <v>343.001866169022</v>
      </c>
      <c r="R11" s="8" t="n">
        <f aca="false">P11+12*K11+J11</f>
        <v>343.001866169022</v>
      </c>
      <c r="S11" s="8" t="n">
        <f aca="false">(M11+N11)/2</f>
        <v>106.638229805385</v>
      </c>
      <c r="T11" s="8" t="n">
        <f aca="false">(O11+P11)/2</f>
        <v>224.820047987203</v>
      </c>
      <c r="U11" s="8" t="n">
        <f aca="false">(Q11+R11)/2</f>
        <v>343.001866169022</v>
      </c>
      <c r="V11" s="7" t="s">
        <v>132</v>
      </c>
      <c r="W11" s="22" t="s">
        <v>138</v>
      </c>
      <c r="X11" s="7" t="s">
        <v>144</v>
      </c>
      <c r="Y11" s="7" t="s">
        <v>108</v>
      </c>
      <c r="Z11" s="7" t="s">
        <v>116</v>
      </c>
    </row>
    <row r="12" customFormat="false" ht="15" hidden="false" customHeight="false" outlineLevel="0" collapsed="false">
      <c r="A12" s="7" t="n">
        <v>11</v>
      </c>
      <c r="B12" s="7" t="s">
        <v>32</v>
      </c>
      <c r="C12" s="7" t="s">
        <v>30</v>
      </c>
      <c r="D12" s="7" t="s">
        <v>145</v>
      </c>
      <c r="E12" s="7" t="s">
        <v>146</v>
      </c>
      <c r="F12" s="20" t="n">
        <v>0</v>
      </c>
      <c r="G12" s="20" t="n">
        <v>0</v>
      </c>
      <c r="H12" s="23" t="n">
        <f aca="false">5/Hypothèses!$B$4</f>
        <v>4.44325957522439</v>
      </c>
      <c r="I12" s="20" t="n">
        <v>0</v>
      </c>
      <c r="J12" s="23" t="n">
        <f aca="false">Hypothèses!$B$10</f>
        <v>11.543588376433</v>
      </c>
      <c r="K12" s="21" t="n">
        <f aca="false">H12</f>
        <v>4.44325957522439</v>
      </c>
      <c r="L12" s="7" t="s">
        <v>112</v>
      </c>
      <c r="M12" s="8" t="n">
        <f aca="false">F12+12*H12+I12</f>
        <v>53.3191149026926</v>
      </c>
      <c r="N12" s="8" t="n">
        <f aca="false">G12+12*H12+I12</f>
        <v>53.3191149026926</v>
      </c>
      <c r="O12" s="8" t="n">
        <f aca="false">M12+12*H12+J12</f>
        <v>118.181818181818</v>
      </c>
      <c r="P12" s="8" t="n">
        <f aca="false">N12+12*H12+J12</f>
        <v>118.181818181818</v>
      </c>
      <c r="Q12" s="8" t="n">
        <f aca="false">O12+12*K12+J12</f>
        <v>183.044521460944</v>
      </c>
      <c r="R12" s="8" t="n">
        <f aca="false">P12+12*K12+J12</f>
        <v>183.044521460944</v>
      </c>
      <c r="S12" s="8" t="n">
        <f aca="false">(M12+N12)/2</f>
        <v>53.3191149026926</v>
      </c>
      <c r="T12" s="8" t="n">
        <f aca="false">(O12+P12)/2</f>
        <v>118.181818181818</v>
      </c>
      <c r="U12" s="8" t="n">
        <f aca="false">(Q12+R12)/2</f>
        <v>183.044521460944</v>
      </c>
      <c r="V12" s="7" t="s">
        <v>132</v>
      </c>
      <c r="W12" s="22" t="s">
        <v>138</v>
      </c>
      <c r="X12" s="7" t="s">
        <v>144</v>
      </c>
      <c r="Y12" s="7" t="s">
        <v>108</v>
      </c>
      <c r="Z12" s="7" t="s">
        <v>116</v>
      </c>
    </row>
    <row r="13" customFormat="false" ht="15" hidden="false" customHeight="false" outlineLevel="0" collapsed="false">
      <c r="A13" s="7" t="n">
        <v>12</v>
      </c>
      <c r="B13" s="7" t="s">
        <v>32</v>
      </c>
      <c r="C13" s="7" t="s">
        <v>30</v>
      </c>
      <c r="D13" s="7" t="s">
        <v>147</v>
      </c>
      <c r="E13" s="7" t="s">
        <v>146</v>
      </c>
      <c r="F13" s="20" t="n">
        <v>0</v>
      </c>
      <c r="G13" s="20" t="n">
        <v>0</v>
      </c>
      <c r="H13" s="23" t="n">
        <f aca="false">10.99/Hypothèses!$B$4</f>
        <v>9.7662845463432</v>
      </c>
      <c r="I13" s="20" t="n">
        <v>0</v>
      </c>
      <c r="J13" s="23" t="n">
        <f aca="false">Hypothèses!$B$10</f>
        <v>11.543588376433</v>
      </c>
      <c r="K13" s="21" t="n">
        <f aca="false">H13</f>
        <v>9.7662845463432</v>
      </c>
      <c r="L13" s="7" t="s">
        <v>112</v>
      </c>
      <c r="M13" s="8" t="n">
        <f aca="false">F13+12*H13+I13</f>
        <v>117.195414556118</v>
      </c>
      <c r="N13" s="8" t="n">
        <f aca="false">G13+12*H13+I13</f>
        <v>117.195414556118</v>
      </c>
      <c r="O13" s="8" t="n">
        <f aca="false">M13+12*H13+J13</f>
        <v>245.93441748867</v>
      </c>
      <c r="P13" s="8" t="n">
        <f aca="false">N13+12*H13+J13</f>
        <v>245.93441748867</v>
      </c>
      <c r="Q13" s="8" t="n">
        <f aca="false">O13+12*K13+J13</f>
        <v>374.673420421221</v>
      </c>
      <c r="R13" s="8" t="n">
        <f aca="false">P13+12*K13+J13</f>
        <v>374.673420421221</v>
      </c>
      <c r="S13" s="8" t="n">
        <f aca="false">(M13+N13)/2</f>
        <v>117.195414556118</v>
      </c>
      <c r="T13" s="8" t="n">
        <f aca="false">(O13+P13)/2</f>
        <v>245.93441748867</v>
      </c>
      <c r="U13" s="8" t="n">
        <f aca="false">(Q13+R13)/2</f>
        <v>374.673420421221</v>
      </c>
      <c r="V13" s="7" t="s">
        <v>132</v>
      </c>
      <c r="W13" s="22" t="s">
        <v>138</v>
      </c>
      <c r="X13" s="7" t="s">
        <v>144</v>
      </c>
      <c r="Y13" s="7" t="s">
        <v>108</v>
      </c>
      <c r="Z13" s="7" t="s">
        <v>116</v>
      </c>
    </row>
    <row r="14" customFormat="false" ht="15" hidden="false" customHeight="false" outlineLevel="0" collapsed="false">
      <c r="A14" s="7" t="n">
        <v>13</v>
      </c>
      <c r="B14" s="7" t="s">
        <v>32</v>
      </c>
      <c r="C14" s="7" t="s">
        <v>30</v>
      </c>
      <c r="D14" s="7" t="s">
        <v>148</v>
      </c>
      <c r="E14" s="7" t="s">
        <v>149</v>
      </c>
      <c r="F14" s="20" t="n">
        <v>0</v>
      </c>
      <c r="G14" s="20" t="n">
        <v>0</v>
      </c>
      <c r="H14" s="23" t="n">
        <f aca="false">8/Hypothèses!$B$4</f>
        <v>7.10921532035902</v>
      </c>
      <c r="I14" s="20" t="n">
        <v>0</v>
      </c>
      <c r="J14" s="23" t="n">
        <f aca="false">Hypothèses!$B$10</f>
        <v>11.543588376433</v>
      </c>
      <c r="K14" s="21" t="n">
        <f aca="false">H14</f>
        <v>7.10921532035902</v>
      </c>
      <c r="L14" s="7" t="s">
        <v>112</v>
      </c>
      <c r="M14" s="8" t="n">
        <f aca="false">F14+12*H14+I14</f>
        <v>85.3105838443082</v>
      </c>
      <c r="N14" s="8" t="n">
        <f aca="false">G14+12*H14+I14</f>
        <v>85.3105838443082</v>
      </c>
      <c r="O14" s="8" t="n">
        <f aca="false">M14+12*H14+J14</f>
        <v>182.164756065049</v>
      </c>
      <c r="P14" s="8" t="n">
        <f aca="false">N14+12*H14+J14</f>
        <v>182.164756065049</v>
      </c>
      <c r="Q14" s="8" t="n">
        <f aca="false">O14+12*K14+J14</f>
        <v>279.018928285791</v>
      </c>
      <c r="R14" s="8" t="n">
        <f aca="false">P14+12*K14+J14</f>
        <v>279.018928285791</v>
      </c>
      <c r="S14" s="8" t="n">
        <f aca="false">(M14+N14)/2</f>
        <v>85.3105838443082</v>
      </c>
      <c r="T14" s="8" t="n">
        <f aca="false">(O14+P14)/2</f>
        <v>182.164756065049</v>
      </c>
      <c r="U14" s="8" t="n">
        <f aca="false">(Q14+R14)/2</f>
        <v>279.018928285791</v>
      </c>
      <c r="V14" s="7" t="s">
        <v>132</v>
      </c>
      <c r="W14" s="22" t="s">
        <v>138</v>
      </c>
      <c r="X14" s="7" t="s">
        <v>144</v>
      </c>
      <c r="Y14" s="7" t="s">
        <v>108</v>
      </c>
      <c r="Z14" s="7" t="s">
        <v>116</v>
      </c>
    </row>
    <row r="15" customFormat="false" ht="15" hidden="false" customHeight="false" outlineLevel="0" collapsed="false">
      <c r="A15" s="7" t="n">
        <v>14</v>
      </c>
      <c r="B15" s="7" t="s">
        <v>32</v>
      </c>
      <c r="C15" s="7" t="s">
        <v>30</v>
      </c>
      <c r="D15" s="7" t="s">
        <v>150</v>
      </c>
      <c r="E15" s="7" t="s">
        <v>36</v>
      </c>
      <c r="F15" s="20" t="n">
        <v>0</v>
      </c>
      <c r="G15" s="20" t="n">
        <v>0</v>
      </c>
      <c r="H15" s="23" t="n">
        <f aca="false">12/Hypothèses!$B$4</f>
        <v>10.6638229805385</v>
      </c>
      <c r="I15" s="20" t="n">
        <v>0</v>
      </c>
      <c r="J15" s="23" t="n">
        <f aca="false">Hypothèses!$B$10</f>
        <v>11.543588376433</v>
      </c>
      <c r="K15" s="21" t="n">
        <f aca="false">H15</f>
        <v>10.6638229805385</v>
      </c>
      <c r="L15" s="7" t="s">
        <v>112</v>
      </c>
      <c r="M15" s="8" t="n">
        <f aca="false">F15+12*H15+I15</f>
        <v>127.965875766462</v>
      </c>
      <c r="N15" s="8" t="n">
        <f aca="false">G15+12*H15+I15</f>
        <v>127.965875766462</v>
      </c>
      <c r="O15" s="8" t="n">
        <f aca="false">M15+12*H15+J15</f>
        <v>267.475339909358</v>
      </c>
      <c r="P15" s="8" t="n">
        <f aca="false">N15+12*H15+J15</f>
        <v>267.475339909358</v>
      </c>
      <c r="Q15" s="8" t="n">
        <f aca="false">O15+12*K15+J15</f>
        <v>406.984804052253</v>
      </c>
      <c r="R15" s="8" t="n">
        <f aca="false">P15+12*K15+J15</f>
        <v>406.984804052253</v>
      </c>
      <c r="S15" s="8" t="n">
        <f aca="false">(M15+N15)/2</f>
        <v>127.965875766462</v>
      </c>
      <c r="T15" s="8" t="n">
        <f aca="false">(O15+P15)/2</f>
        <v>267.475339909358</v>
      </c>
      <c r="U15" s="8" t="n">
        <f aca="false">(Q15+R15)/2</f>
        <v>406.984804052253</v>
      </c>
      <c r="V15" s="7" t="s">
        <v>132</v>
      </c>
      <c r="W15" s="22" t="s">
        <v>138</v>
      </c>
      <c r="X15" s="7" t="s">
        <v>144</v>
      </c>
      <c r="Y15" s="7" t="s">
        <v>108</v>
      </c>
      <c r="Z15" s="7" t="s">
        <v>116</v>
      </c>
    </row>
    <row r="16" customFormat="false" ht="15" hidden="false" customHeight="false" outlineLevel="0" collapsed="false">
      <c r="A16" s="7" t="n">
        <v>15</v>
      </c>
      <c r="B16" s="7" t="s">
        <v>32</v>
      </c>
      <c r="C16" s="7" t="s">
        <v>30</v>
      </c>
      <c r="D16" s="7" t="s">
        <v>151</v>
      </c>
      <c r="E16" s="7" t="s">
        <v>152</v>
      </c>
      <c r="F16" s="20" t="n">
        <v>0</v>
      </c>
      <c r="G16" s="20" t="n">
        <v>0</v>
      </c>
      <c r="H16" s="21" t="n">
        <f aca="false">2.69</f>
        <v>2.69</v>
      </c>
      <c r="I16" s="20" t="n">
        <v>0</v>
      </c>
      <c r="J16" s="23" t="n">
        <f aca="false">Hypothèses!$B$10</f>
        <v>11.543588376433</v>
      </c>
      <c r="K16" s="21" t="n">
        <f aca="false">H16</f>
        <v>2.69</v>
      </c>
      <c r="L16" s="7" t="s">
        <v>112</v>
      </c>
      <c r="M16" s="8" t="n">
        <f aca="false">F16+12*H16+I16</f>
        <v>32.28</v>
      </c>
      <c r="N16" s="8" t="n">
        <f aca="false">G16+12*H16+I16</f>
        <v>32.28</v>
      </c>
      <c r="O16" s="8" t="n">
        <f aca="false">M16+12*H16+J16</f>
        <v>76.103588376433</v>
      </c>
      <c r="P16" s="8" t="n">
        <f aca="false">N16+12*H16+J16</f>
        <v>76.103588376433</v>
      </c>
      <c r="Q16" s="8" t="n">
        <f aca="false">O16+12*K16+J16</f>
        <v>119.927176752866</v>
      </c>
      <c r="R16" s="8" t="n">
        <f aca="false">P16+12*K16+J16</f>
        <v>119.927176752866</v>
      </c>
      <c r="S16" s="8" t="n">
        <f aca="false">(M16+N16)/2</f>
        <v>32.28</v>
      </c>
      <c r="T16" s="8" t="n">
        <f aca="false">(O16+P16)/2</f>
        <v>76.103588376433</v>
      </c>
      <c r="U16" s="8" t="n">
        <f aca="false">(Q16+R16)/2</f>
        <v>119.927176752866</v>
      </c>
      <c r="V16" s="7" t="s">
        <v>153</v>
      </c>
      <c r="W16" s="22" t="s">
        <v>154</v>
      </c>
      <c r="X16" s="7" t="s">
        <v>155</v>
      </c>
      <c r="Y16" s="7" t="s">
        <v>108</v>
      </c>
      <c r="Z16" s="7" t="s">
        <v>116</v>
      </c>
    </row>
    <row r="17" customFormat="false" ht="15" hidden="false" customHeight="false" outlineLevel="0" collapsed="false">
      <c r="A17" s="7" t="n">
        <v>16</v>
      </c>
      <c r="B17" s="7" t="s">
        <v>32</v>
      </c>
      <c r="C17" s="7" t="s">
        <v>30</v>
      </c>
      <c r="D17" s="7" t="s">
        <v>156</v>
      </c>
      <c r="E17" s="7" t="s">
        <v>157</v>
      </c>
      <c r="F17" s="20" t="n">
        <v>0</v>
      </c>
      <c r="G17" s="20" t="n">
        <v>0</v>
      </c>
      <c r="H17" s="23" t="n">
        <f aca="false">10.8/Hypothèses!$B$4</f>
        <v>9.59744068248467</v>
      </c>
      <c r="I17" s="20" t="n">
        <v>0</v>
      </c>
      <c r="J17" s="23" t="n">
        <f aca="false">Hypothèses!$B$10</f>
        <v>11.543588376433</v>
      </c>
      <c r="K17" s="21" t="n">
        <f aca="false">H17</f>
        <v>9.59744068248467</v>
      </c>
      <c r="L17" s="7" t="s">
        <v>112</v>
      </c>
      <c r="M17" s="8" t="n">
        <f aca="false">F17+12*H17+I17</f>
        <v>115.169288189816</v>
      </c>
      <c r="N17" s="8" t="n">
        <f aca="false">G17+12*H17+I17</f>
        <v>115.169288189816</v>
      </c>
      <c r="O17" s="8" t="n">
        <f aca="false">M17+12*H17+J17</f>
        <v>241.882164756065</v>
      </c>
      <c r="P17" s="8" t="n">
        <f aca="false">N17+12*H17+J17</f>
        <v>241.882164756065</v>
      </c>
      <c r="Q17" s="8" t="n">
        <f aca="false">O17+12*K17+J17</f>
        <v>368.595041322314</v>
      </c>
      <c r="R17" s="8" t="n">
        <f aca="false">P17+12*K17+J17</f>
        <v>368.595041322314</v>
      </c>
      <c r="S17" s="8" t="n">
        <f aca="false">(M17+N17)/2</f>
        <v>115.169288189816</v>
      </c>
      <c r="T17" s="8" t="n">
        <f aca="false">(O17+P17)/2</f>
        <v>241.882164756065</v>
      </c>
      <c r="U17" s="8" t="n">
        <f aca="false">(Q17+R17)/2</f>
        <v>368.595041322314</v>
      </c>
      <c r="V17" s="7" t="s">
        <v>132</v>
      </c>
      <c r="W17" s="22" t="s">
        <v>120</v>
      </c>
      <c r="X17" s="7" t="s">
        <v>158</v>
      </c>
      <c r="Y17" s="7" t="s">
        <v>108</v>
      </c>
      <c r="Z17" s="7" t="s">
        <v>116</v>
      </c>
    </row>
    <row r="18" customFormat="false" ht="15" hidden="false" customHeight="false" outlineLevel="0" collapsed="false">
      <c r="A18" s="7" t="n">
        <v>17</v>
      </c>
      <c r="B18" s="7" t="s">
        <v>32</v>
      </c>
      <c r="C18" s="7" t="s">
        <v>30</v>
      </c>
      <c r="D18" s="7" t="s">
        <v>159</v>
      </c>
      <c r="E18" s="7" t="s">
        <v>123</v>
      </c>
      <c r="F18" s="20" t="n">
        <v>0</v>
      </c>
      <c r="G18" s="20" t="n">
        <v>0</v>
      </c>
      <c r="H18" s="21" t="n">
        <f aca="false">7.99</f>
        <v>7.99</v>
      </c>
      <c r="I18" s="20" t="n">
        <v>0</v>
      </c>
      <c r="J18" s="23" t="n">
        <f aca="false">Hypothèses!$B$10</f>
        <v>11.543588376433</v>
      </c>
      <c r="K18" s="21" t="n">
        <f aca="false">H18</f>
        <v>7.99</v>
      </c>
      <c r="L18" s="7" t="s">
        <v>112</v>
      </c>
      <c r="M18" s="8" t="n">
        <f aca="false">F18+12*H18+I18</f>
        <v>95.88</v>
      </c>
      <c r="N18" s="8" t="n">
        <f aca="false">G18+12*H18+I18</f>
        <v>95.88</v>
      </c>
      <c r="O18" s="8" t="n">
        <f aca="false">M18+12*H18+J18</f>
        <v>203.303588376433</v>
      </c>
      <c r="P18" s="8" t="n">
        <f aca="false">N18+12*H18+J18</f>
        <v>203.303588376433</v>
      </c>
      <c r="Q18" s="8" t="n">
        <f aca="false">O18+12*K18+J18</f>
        <v>310.727176752866</v>
      </c>
      <c r="R18" s="8" t="n">
        <f aca="false">P18+12*K18+J18</f>
        <v>310.727176752866</v>
      </c>
      <c r="S18" s="8" t="n">
        <f aca="false">(M18+N18)/2</f>
        <v>95.88</v>
      </c>
      <c r="T18" s="8" t="n">
        <f aca="false">(O18+P18)/2</f>
        <v>203.303588376433</v>
      </c>
      <c r="U18" s="8" t="n">
        <f aca="false">(Q18+R18)/2</f>
        <v>310.727176752866</v>
      </c>
      <c r="V18" s="7" t="s">
        <v>137</v>
      </c>
      <c r="W18" s="22" t="s">
        <v>138</v>
      </c>
      <c r="X18" s="7" t="s">
        <v>139</v>
      </c>
      <c r="Y18" s="7" t="s">
        <v>108</v>
      </c>
      <c r="Z18" s="7" t="s">
        <v>116</v>
      </c>
    </row>
    <row r="19" customFormat="false" ht="15" hidden="false" customHeight="false" outlineLevel="0" collapsed="false">
      <c r="A19" s="7" t="n">
        <v>18</v>
      </c>
      <c r="B19" s="7" t="s">
        <v>33</v>
      </c>
      <c r="C19" s="7" t="s">
        <v>30</v>
      </c>
      <c r="D19" s="7" t="s">
        <v>160</v>
      </c>
      <c r="E19" s="7" t="s">
        <v>103</v>
      </c>
      <c r="F19" s="20" t="n">
        <v>350</v>
      </c>
      <c r="G19" s="20" t="n">
        <v>500</v>
      </c>
      <c r="H19" s="20" t="n">
        <v>0</v>
      </c>
      <c r="I19" s="21" t="n">
        <f aca="false">150+12.5</f>
        <v>162.5</v>
      </c>
      <c r="J19" s="21" t="n">
        <f aca="false">150+12.5</f>
        <v>162.5</v>
      </c>
      <c r="K19" s="21" t="n">
        <f aca="false">H19</f>
        <v>0</v>
      </c>
      <c r="L19" s="7" t="s">
        <v>106</v>
      </c>
      <c r="M19" s="8" t="n">
        <f aca="false">F19+12*H19+I19</f>
        <v>512.5</v>
      </c>
      <c r="N19" s="8" t="n">
        <f aca="false">G19+12*H19+I19</f>
        <v>662.5</v>
      </c>
      <c r="O19" s="8" t="n">
        <f aca="false">M19+12*H19+J19</f>
        <v>675</v>
      </c>
      <c r="P19" s="8" t="n">
        <f aca="false">N19+12*H19+J19</f>
        <v>825</v>
      </c>
      <c r="Q19" s="8" t="n">
        <f aca="false">O19+12*K19+J19</f>
        <v>837.5</v>
      </c>
      <c r="R19" s="8" t="n">
        <f aca="false">P19+12*K19+J19</f>
        <v>987.5</v>
      </c>
      <c r="S19" s="8" t="n">
        <f aca="false">(M19+N19)/2</f>
        <v>587.5</v>
      </c>
      <c r="T19" s="8" t="n">
        <f aca="false">(O19+P19)/2</f>
        <v>750</v>
      </c>
      <c r="U19" s="8" t="n">
        <f aca="false">(Q19+R19)/2</f>
        <v>912.5</v>
      </c>
      <c r="V19" s="7" t="s">
        <v>161</v>
      </c>
      <c r="W19" s="22" t="s">
        <v>162</v>
      </c>
      <c r="X19" s="7" t="s">
        <v>163</v>
      </c>
      <c r="Y19" s="7" t="s">
        <v>108</v>
      </c>
      <c r="Z19" s="7" t="s">
        <v>164</v>
      </c>
    </row>
    <row r="20" customFormat="false" ht="15" hidden="false" customHeight="false" outlineLevel="0" collapsed="false">
      <c r="A20" s="7" t="n">
        <v>19</v>
      </c>
      <c r="B20" s="7" t="s">
        <v>33</v>
      </c>
      <c r="C20" s="7" t="s">
        <v>30</v>
      </c>
      <c r="D20" s="7" t="s">
        <v>165</v>
      </c>
      <c r="E20" s="7" t="s">
        <v>103</v>
      </c>
      <c r="F20" s="20" t="n">
        <v>590</v>
      </c>
      <c r="G20" s="20" t="n">
        <v>590</v>
      </c>
      <c r="H20" s="20" t="n">
        <v>0</v>
      </c>
      <c r="I20" s="23" t="n">
        <f aca="false">Hypothèses!$B$13</f>
        <v>41.423588376433</v>
      </c>
      <c r="J20" s="23" t="n">
        <f aca="false">Hypothèses!$B$13</f>
        <v>41.423588376433</v>
      </c>
      <c r="K20" s="21" t="n">
        <f aca="false">H20</f>
        <v>0</v>
      </c>
      <c r="L20" s="7" t="s">
        <v>106</v>
      </c>
      <c r="M20" s="8" t="n">
        <f aca="false">F20+12*H20+I20</f>
        <v>631.423588376433</v>
      </c>
      <c r="N20" s="8" t="n">
        <f aca="false">G20+12*H20+I20</f>
        <v>631.423588376433</v>
      </c>
      <c r="O20" s="8" t="n">
        <f aca="false">M20+12*H20+J20</f>
        <v>672.847176752866</v>
      </c>
      <c r="P20" s="8" t="n">
        <f aca="false">N20+12*H20+J20</f>
        <v>672.847176752866</v>
      </c>
      <c r="Q20" s="8" t="n">
        <f aca="false">O20+12*K20+J20</f>
        <v>714.270765129299</v>
      </c>
      <c r="R20" s="8" t="n">
        <f aca="false">P20+12*K20+J20</f>
        <v>714.270765129299</v>
      </c>
      <c r="S20" s="8" t="n">
        <f aca="false">(M20+N20)/2</f>
        <v>631.423588376433</v>
      </c>
      <c r="T20" s="8" t="n">
        <f aca="false">(O20+P20)/2</f>
        <v>672.847176752866</v>
      </c>
      <c r="U20" s="8" t="n">
        <f aca="false">(Q20+R20)/2</f>
        <v>714.270765129299</v>
      </c>
      <c r="V20" s="7"/>
      <c r="W20" s="22" t="s">
        <v>166</v>
      </c>
      <c r="X20" s="7" t="s">
        <v>167</v>
      </c>
      <c r="Y20" s="7" t="s">
        <v>108</v>
      </c>
      <c r="Z20" s="7" t="s">
        <v>168</v>
      </c>
    </row>
    <row r="21" customFormat="false" ht="15" hidden="false" customHeight="false" outlineLevel="0" collapsed="false">
      <c r="A21" s="7" t="n">
        <v>20</v>
      </c>
      <c r="B21" s="7" t="s">
        <v>33</v>
      </c>
      <c r="C21" s="7" t="s">
        <v>30</v>
      </c>
      <c r="D21" s="7" t="s">
        <v>169</v>
      </c>
      <c r="E21" s="7" t="s">
        <v>170</v>
      </c>
      <c r="F21" s="20" t="n">
        <v>790</v>
      </c>
      <c r="G21" s="20" t="n">
        <v>790</v>
      </c>
      <c r="H21" s="20" t="n">
        <v>0</v>
      </c>
      <c r="I21" s="23" t="n">
        <f aca="false">Hypothèses!$B$13</f>
        <v>41.423588376433</v>
      </c>
      <c r="J21" s="23" t="n">
        <f aca="false">Hypothèses!$B$13</f>
        <v>41.423588376433</v>
      </c>
      <c r="K21" s="21" t="n">
        <f aca="false">H21</f>
        <v>0</v>
      </c>
      <c r="L21" s="7" t="s">
        <v>106</v>
      </c>
      <c r="M21" s="8" t="n">
        <f aca="false">F21+12*H21+I21</f>
        <v>831.423588376433</v>
      </c>
      <c r="N21" s="8" t="n">
        <f aca="false">G21+12*H21+I21</f>
        <v>831.423588376433</v>
      </c>
      <c r="O21" s="8" t="n">
        <f aca="false">M21+12*H21+J21</f>
        <v>872.847176752866</v>
      </c>
      <c r="P21" s="8" t="n">
        <f aca="false">N21+12*H21+J21</f>
        <v>872.847176752866</v>
      </c>
      <c r="Q21" s="8" t="n">
        <f aca="false">O21+12*K21+J21</f>
        <v>914.270765129299</v>
      </c>
      <c r="R21" s="8" t="n">
        <f aca="false">P21+12*K21+J21</f>
        <v>914.270765129299</v>
      </c>
      <c r="S21" s="8" t="n">
        <f aca="false">(M21+N21)/2</f>
        <v>831.423588376433</v>
      </c>
      <c r="T21" s="8" t="n">
        <f aca="false">(O21+P21)/2</f>
        <v>872.847176752866</v>
      </c>
      <c r="U21" s="8" t="n">
        <f aca="false">(Q21+R21)/2</f>
        <v>914.270765129299</v>
      </c>
      <c r="V21" s="7"/>
      <c r="W21" s="22" t="s">
        <v>171</v>
      </c>
      <c r="X21" s="7" t="s">
        <v>167</v>
      </c>
      <c r="Y21" s="7" t="s">
        <v>108</v>
      </c>
      <c r="Z21" s="7" t="s">
        <v>172</v>
      </c>
    </row>
    <row r="22" customFormat="false" ht="15" hidden="false" customHeight="false" outlineLevel="0" collapsed="false">
      <c r="A22" s="7" t="n">
        <v>21</v>
      </c>
      <c r="B22" s="7" t="s">
        <v>33</v>
      </c>
      <c r="C22" s="7" t="s">
        <v>30</v>
      </c>
      <c r="D22" s="7" t="s">
        <v>173</v>
      </c>
      <c r="E22" s="7" t="s">
        <v>174</v>
      </c>
      <c r="F22" s="20" t="n">
        <v>299</v>
      </c>
      <c r="G22" s="20" t="n">
        <v>299</v>
      </c>
      <c r="H22" s="20" t="n">
        <v>0</v>
      </c>
      <c r="I22" s="23" t="n">
        <f aca="false">Hypothèses!$B$13</f>
        <v>41.423588376433</v>
      </c>
      <c r="J22" s="23" t="n">
        <f aca="false">Hypothèses!$B$13</f>
        <v>41.423588376433</v>
      </c>
      <c r="K22" s="21" t="n">
        <f aca="false">H22</f>
        <v>0</v>
      </c>
      <c r="L22" s="7" t="s">
        <v>106</v>
      </c>
      <c r="M22" s="8" t="n">
        <f aca="false">F22+12*H22+I22</f>
        <v>340.423588376433</v>
      </c>
      <c r="N22" s="8" t="n">
        <f aca="false">G22+12*H22+I22</f>
        <v>340.423588376433</v>
      </c>
      <c r="O22" s="8" t="n">
        <f aca="false">M22+12*H22+J22</f>
        <v>381.847176752866</v>
      </c>
      <c r="P22" s="8" t="n">
        <f aca="false">N22+12*H22+J22</f>
        <v>381.847176752866</v>
      </c>
      <c r="Q22" s="8" t="n">
        <f aca="false">O22+12*K22+J22</f>
        <v>423.270765129299</v>
      </c>
      <c r="R22" s="8" t="n">
        <f aca="false">P22+12*K22+J22</f>
        <v>423.270765129299</v>
      </c>
      <c r="S22" s="8" t="n">
        <f aca="false">(M22+N22)/2</f>
        <v>340.423588376433</v>
      </c>
      <c r="T22" s="8" t="n">
        <f aca="false">(O22+P22)/2</f>
        <v>381.847176752866</v>
      </c>
      <c r="U22" s="8" t="n">
        <f aca="false">(Q22+R22)/2</f>
        <v>423.270765129299</v>
      </c>
      <c r="V22" s="7" t="s">
        <v>175</v>
      </c>
      <c r="W22" s="22" t="s">
        <v>176</v>
      </c>
      <c r="X22" s="7" t="s">
        <v>177</v>
      </c>
      <c r="Y22" s="7" t="s">
        <v>108</v>
      </c>
      <c r="Z22" s="7" t="s">
        <v>164</v>
      </c>
    </row>
    <row r="23" customFormat="false" ht="15" hidden="false" customHeight="false" outlineLevel="0" collapsed="false">
      <c r="A23" s="7" t="n">
        <v>22</v>
      </c>
      <c r="B23" s="7" t="s">
        <v>33</v>
      </c>
      <c r="C23" s="7" t="s">
        <v>30</v>
      </c>
      <c r="D23" s="7" t="s">
        <v>178</v>
      </c>
      <c r="E23" s="7" t="s">
        <v>179</v>
      </c>
      <c r="F23" s="20" t="n">
        <v>599</v>
      </c>
      <c r="G23" s="20" t="n">
        <v>599</v>
      </c>
      <c r="H23" s="20" t="n">
        <v>0</v>
      </c>
      <c r="I23" s="23" t="n">
        <f aca="false">Hypothèses!$B$13</f>
        <v>41.423588376433</v>
      </c>
      <c r="J23" s="23" t="n">
        <f aca="false">Hypothèses!$B$13</f>
        <v>41.423588376433</v>
      </c>
      <c r="K23" s="21" t="n">
        <f aca="false">H23</f>
        <v>0</v>
      </c>
      <c r="L23" s="7" t="s">
        <v>106</v>
      </c>
      <c r="M23" s="8" t="n">
        <f aca="false">F23+12*H23+I23</f>
        <v>640.423588376433</v>
      </c>
      <c r="N23" s="8" t="n">
        <f aca="false">G23+12*H23+I23</f>
        <v>640.423588376433</v>
      </c>
      <c r="O23" s="8" t="n">
        <f aca="false">M23+12*H23+J23</f>
        <v>681.847176752866</v>
      </c>
      <c r="P23" s="8" t="n">
        <f aca="false">N23+12*H23+J23</f>
        <v>681.847176752866</v>
      </c>
      <c r="Q23" s="8" t="n">
        <f aca="false">O23+12*K23+J23</f>
        <v>723.270765129299</v>
      </c>
      <c r="R23" s="8" t="n">
        <f aca="false">P23+12*K23+J23</f>
        <v>723.270765129299</v>
      </c>
      <c r="S23" s="8" t="n">
        <f aca="false">(M23+N23)/2</f>
        <v>640.423588376433</v>
      </c>
      <c r="T23" s="8" t="n">
        <f aca="false">(O23+P23)/2</f>
        <v>681.847176752866</v>
      </c>
      <c r="U23" s="8" t="n">
        <f aca="false">(Q23+R23)/2</f>
        <v>723.270765129299</v>
      </c>
      <c r="V23" s="7" t="s">
        <v>175</v>
      </c>
      <c r="W23" s="22" t="s">
        <v>176</v>
      </c>
      <c r="X23" s="7" t="s">
        <v>177</v>
      </c>
      <c r="Y23" s="7" t="s">
        <v>108</v>
      </c>
      <c r="Z23" s="7" t="s">
        <v>164</v>
      </c>
    </row>
    <row r="24" customFormat="false" ht="15" hidden="false" customHeight="false" outlineLevel="0" collapsed="false">
      <c r="A24" s="7" t="n">
        <v>23</v>
      </c>
      <c r="B24" s="7" t="s">
        <v>33</v>
      </c>
      <c r="C24" s="7" t="s">
        <v>30</v>
      </c>
      <c r="D24" s="7" t="s">
        <v>180</v>
      </c>
      <c r="E24" s="7" t="s">
        <v>181</v>
      </c>
      <c r="F24" s="20" t="n">
        <v>450</v>
      </c>
      <c r="G24" s="20" t="n">
        <v>450</v>
      </c>
      <c r="H24" s="20" t="n">
        <v>0</v>
      </c>
      <c r="I24" s="21" t="n">
        <f aca="false">80</f>
        <v>80</v>
      </c>
      <c r="J24" s="21" t="n">
        <f aca="false">80</f>
        <v>80</v>
      </c>
      <c r="K24" s="21" t="n">
        <f aca="false">H24</f>
        <v>0</v>
      </c>
      <c r="L24" s="7" t="s">
        <v>106</v>
      </c>
      <c r="M24" s="8" t="n">
        <f aca="false">F24+12*H24+I24</f>
        <v>530</v>
      </c>
      <c r="N24" s="8" t="n">
        <f aca="false">G24+12*H24+I24</f>
        <v>530</v>
      </c>
      <c r="O24" s="8" t="n">
        <f aca="false">M24+12*H24+J24</f>
        <v>610</v>
      </c>
      <c r="P24" s="8" t="n">
        <f aca="false">N24+12*H24+J24</f>
        <v>610</v>
      </c>
      <c r="Q24" s="8" t="n">
        <f aca="false">O24+12*K24+J24</f>
        <v>690</v>
      </c>
      <c r="R24" s="8" t="n">
        <f aca="false">P24+12*K24+J24</f>
        <v>690</v>
      </c>
      <c r="S24" s="8" t="n">
        <f aca="false">(M24+N24)/2</f>
        <v>530</v>
      </c>
      <c r="T24" s="8" t="n">
        <f aca="false">(O24+P24)/2</f>
        <v>610</v>
      </c>
      <c r="U24" s="8" t="n">
        <f aca="false">(Q24+R24)/2</f>
        <v>690</v>
      </c>
      <c r="V24" s="7" t="s">
        <v>182</v>
      </c>
      <c r="W24" s="22" t="s">
        <v>183</v>
      </c>
      <c r="X24" s="7" t="s">
        <v>184</v>
      </c>
      <c r="Y24" s="7" t="s">
        <v>108</v>
      </c>
      <c r="Z24" s="7" t="s">
        <v>164</v>
      </c>
    </row>
    <row r="25" customFormat="false" ht="15" hidden="false" customHeight="false" outlineLevel="0" collapsed="false">
      <c r="A25" s="7" t="n">
        <v>24</v>
      </c>
      <c r="B25" s="7" t="s">
        <v>33</v>
      </c>
      <c r="C25" s="7" t="s">
        <v>30</v>
      </c>
      <c r="D25" s="7" t="s">
        <v>185</v>
      </c>
      <c r="E25" s="7" t="s">
        <v>186</v>
      </c>
      <c r="F25" s="20" t="n">
        <v>700</v>
      </c>
      <c r="G25" s="20" t="n">
        <v>999</v>
      </c>
      <c r="H25" s="20" t="n">
        <v>0</v>
      </c>
      <c r="I25" s="23" t="n">
        <f aca="false">144+Hypothèses!$B$10</f>
        <v>155.543588376433</v>
      </c>
      <c r="J25" s="23" t="n">
        <f aca="false">144+Hypothèses!$B$10</f>
        <v>155.543588376433</v>
      </c>
      <c r="K25" s="21" t="n">
        <f aca="false">H25</f>
        <v>0</v>
      </c>
      <c r="L25" s="7" t="s">
        <v>106</v>
      </c>
      <c r="M25" s="8" t="n">
        <f aca="false">F25+12*H25+I25</f>
        <v>855.543588376433</v>
      </c>
      <c r="N25" s="8" t="n">
        <f aca="false">G25+12*H25+I25</f>
        <v>1154.54358837643</v>
      </c>
      <c r="O25" s="8" t="n">
        <f aca="false">M25+12*H25+J25</f>
        <v>1011.08717675287</v>
      </c>
      <c r="P25" s="8" t="n">
        <f aca="false">N25+12*H25+J25</f>
        <v>1310.08717675287</v>
      </c>
      <c r="Q25" s="8" t="n">
        <f aca="false">O25+12*K25+J25</f>
        <v>1166.6307651293</v>
      </c>
      <c r="R25" s="8" t="n">
        <f aca="false">P25+12*K25+J25</f>
        <v>1465.6307651293</v>
      </c>
      <c r="S25" s="8" t="n">
        <f aca="false">(M25+N25)/2</f>
        <v>1005.04358837643</v>
      </c>
      <c r="T25" s="8" t="n">
        <f aca="false">(O25+P25)/2</f>
        <v>1160.58717675287</v>
      </c>
      <c r="U25" s="8" t="n">
        <f aca="false">(Q25+R25)/2</f>
        <v>1316.1307651293</v>
      </c>
      <c r="V25" s="7" t="s">
        <v>187</v>
      </c>
      <c r="W25" s="22" t="s">
        <v>183</v>
      </c>
      <c r="X25" s="7" t="s">
        <v>184</v>
      </c>
      <c r="Y25" s="7" t="s">
        <v>108</v>
      </c>
      <c r="Z25" s="7" t="s">
        <v>188</v>
      </c>
    </row>
    <row r="26" customFormat="false" ht="15" hidden="false" customHeight="false" outlineLevel="0" collapsed="false">
      <c r="A26" s="7" t="n">
        <v>25</v>
      </c>
      <c r="B26" s="7" t="s">
        <v>33</v>
      </c>
      <c r="C26" s="7" t="s">
        <v>30</v>
      </c>
      <c r="D26" s="7" t="s">
        <v>189</v>
      </c>
      <c r="E26" s="7" t="s">
        <v>190</v>
      </c>
      <c r="F26" s="20" t="n">
        <v>590</v>
      </c>
      <c r="G26" s="20" t="n">
        <v>590</v>
      </c>
      <c r="H26" s="20" t="n">
        <v>0</v>
      </c>
      <c r="I26" s="23" t="n">
        <f aca="false">Hypothèses!$B$13</f>
        <v>41.423588376433</v>
      </c>
      <c r="J26" s="23" t="n">
        <f aca="false">Hypothèses!$B$13</f>
        <v>41.423588376433</v>
      </c>
      <c r="K26" s="21" t="n">
        <f aca="false">H26</f>
        <v>0</v>
      </c>
      <c r="L26" s="7" t="s">
        <v>106</v>
      </c>
      <c r="M26" s="8" t="n">
        <f aca="false">F26+12*H26+I26</f>
        <v>631.423588376433</v>
      </c>
      <c r="N26" s="8" t="n">
        <f aca="false">G26+12*H26+I26</f>
        <v>631.423588376433</v>
      </c>
      <c r="O26" s="8" t="n">
        <f aca="false">M26+12*H26+J26</f>
        <v>672.847176752866</v>
      </c>
      <c r="P26" s="8" t="n">
        <f aca="false">N26+12*H26+J26</f>
        <v>672.847176752866</v>
      </c>
      <c r="Q26" s="8" t="n">
        <f aca="false">O26+12*K26+J26</f>
        <v>714.270765129299</v>
      </c>
      <c r="R26" s="8" t="n">
        <f aca="false">P26+12*K26+J26</f>
        <v>714.270765129299</v>
      </c>
      <c r="S26" s="8" t="n">
        <f aca="false">(M26+N26)/2</f>
        <v>631.423588376433</v>
      </c>
      <c r="T26" s="8" t="n">
        <f aca="false">(O26+P26)/2</f>
        <v>672.847176752866</v>
      </c>
      <c r="U26" s="8" t="n">
        <f aca="false">(Q26+R26)/2</f>
        <v>714.270765129299</v>
      </c>
      <c r="V26" s="7" t="s">
        <v>191</v>
      </c>
      <c r="W26" s="22" t="s">
        <v>192</v>
      </c>
      <c r="X26" s="7" t="s">
        <v>193</v>
      </c>
      <c r="Y26" s="7" t="s">
        <v>108</v>
      </c>
      <c r="Z26" s="7" t="s">
        <v>109</v>
      </c>
    </row>
    <row r="27" customFormat="false" ht="15" hidden="false" customHeight="false" outlineLevel="0" collapsed="false">
      <c r="A27" s="7" t="n">
        <v>26</v>
      </c>
      <c r="B27" s="7" t="s">
        <v>33</v>
      </c>
      <c r="C27" s="7" t="s">
        <v>30</v>
      </c>
      <c r="D27" s="7" t="s">
        <v>194</v>
      </c>
      <c r="E27" s="7" t="s">
        <v>195</v>
      </c>
      <c r="F27" s="20" t="n">
        <v>1190</v>
      </c>
      <c r="G27" s="20" t="n">
        <v>1190</v>
      </c>
      <c r="H27" s="20" t="n">
        <v>0</v>
      </c>
      <c r="I27" s="23" t="n">
        <f aca="false">Hypothèses!$B$13</f>
        <v>41.423588376433</v>
      </c>
      <c r="J27" s="23" t="n">
        <f aca="false">Hypothèses!$B$13</f>
        <v>41.423588376433</v>
      </c>
      <c r="K27" s="21" t="n">
        <f aca="false">H27</f>
        <v>0</v>
      </c>
      <c r="L27" s="7" t="s">
        <v>106</v>
      </c>
      <c r="M27" s="8" t="n">
        <f aca="false">F27+12*H27+I27</f>
        <v>1231.42358837643</v>
      </c>
      <c r="N27" s="8" t="n">
        <f aca="false">G27+12*H27+I27</f>
        <v>1231.42358837643</v>
      </c>
      <c r="O27" s="8" t="n">
        <f aca="false">M27+12*H27+J27</f>
        <v>1272.84717675287</v>
      </c>
      <c r="P27" s="8" t="n">
        <f aca="false">N27+12*H27+J27</f>
        <v>1272.84717675287</v>
      </c>
      <c r="Q27" s="8" t="n">
        <f aca="false">O27+12*K27+J27</f>
        <v>1314.2707651293</v>
      </c>
      <c r="R27" s="8" t="n">
        <f aca="false">P27+12*K27+J27</f>
        <v>1314.2707651293</v>
      </c>
      <c r="S27" s="8" t="n">
        <f aca="false">(M27+N27)/2</f>
        <v>1231.42358837643</v>
      </c>
      <c r="T27" s="8" t="n">
        <f aca="false">(O27+P27)/2</f>
        <v>1272.84717675287</v>
      </c>
      <c r="U27" s="8" t="n">
        <f aca="false">(Q27+R27)/2</f>
        <v>1314.2707651293</v>
      </c>
      <c r="V27" s="7"/>
      <c r="W27" s="22" t="s">
        <v>196</v>
      </c>
      <c r="X27" s="7" t="s">
        <v>163</v>
      </c>
      <c r="Y27" s="7" t="s">
        <v>108</v>
      </c>
      <c r="Z27" s="7" t="s">
        <v>197</v>
      </c>
    </row>
    <row r="28" customFormat="false" ht="15" hidden="false" customHeight="false" outlineLevel="0" collapsed="false">
      <c r="A28" s="7" t="n">
        <v>27</v>
      </c>
      <c r="B28" s="7" t="s">
        <v>33</v>
      </c>
      <c r="C28" s="7" t="s">
        <v>30</v>
      </c>
      <c r="D28" s="7" t="s">
        <v>198</v>
      </c>
      <c r="E28" s="7" t="s">
        <v>199</v>
      </c>
      <c r="F28" s="20" t="n">
        <v>990</v>
      </c>
      <c r="G28" s="20" t="n">
        <v>990</v>
      </c>
      <c r="H28" s="20" t="n">
        <v>0</v>
      </c>
      <c r="I28" s="23" t="n">
        <f aca="false">Hypothèses!$B$13</f>
        <v>41.423588376433</v>
      </c>
      <c r="J28" s="23" t="n">
        <f aca="false">Hypothèses!$B$13</f>
        <v>41.423588376433</v>
      </c>
      <c r="K28" s="21" t="n">
        <f aca="false">H28</f>
        <v>0</v>
      </c>
      <c r="L28" s="7" t="s">
        <v>106</v>
      </c>
      <c r="M28" s="8" t="n">
        <f aca="false">F28+12*H28+I28</f>
        <v>1031.42358837643</v>
      </c>
      <c r="N28" s="8" t="n">
        <f aca="false">G28+12*H28+I28</f>
        <v>1031.42358837643</v>
      </c>
      <c r="O28" s="8" t="n">
        <f aca="false">M28+12*H28+J28</f>
        <v>1072.84717675287</v>
      </c>
      <c r="P28" s="8" t="n">
        <f aca="false">N28+12*H28+J28</f>
        <v>1072.84717675287</v>
      </c>
      <c r="Q28" s="8" t="n">
        <f aca="false">O28+12*K28+J28</f>
        <v>1114.2707651293</v>
      </c>
      <c r="R28" s="8" t="n">
        <f aca="false">P28+12*K28+J28</f>
        <v>1114.2707651293</v>
      </c>
      <c r="S28" s="8" t="n">
        <f aca="false">(M28+N28)/2</f>
        <v>1031.42358837643</v>
      </c>
      <c r="T28" s="8" t="n">
        <f aca="false">(O28+P28)/2</f>
        <v>1072.84717675287</v>
      </c>
      <c r="U28" s="8" t="n">
        <f aca="false">(Q28+R28)/2</f>
        <v>1114.2707651293</v>
      </c>
      <c r="V28" s="7" t="s">
        <v>200</v>
      </c>
      <c r="W28" s="22" t="s">
        <v>201</v>
      </c>
      <c r="X28" s="7" t="s">
        <v>163</v>
      </c>
      <c r="Y28" s="7" t="s">
        <v>108</v>
      </c>
      <c r="Z28" s="7" t="s">
        <v>164</v>
      </c>
    </row>
    <row r="29" customFormat="false" ht="15" hidden="false" customHeight="false" outlineLevel="0" collapsed="false">
      <c r="A29" s="7" t="n">
        <v>28</v>
      </c>
      <c r="B29" s="7" t="s">
        <v>33</v>
      </c>
      <c r="C29" s="7" t="s">
        <v>30</v>
      </c>
      <c r="D29" s="7" t="s">
        <v>202</v>
      </c>
      <c r="E29" s="7" t="s">
        <v>203</v>
      </c>
      <c r="F29" s="20" t="n">
        <v>990</v>
      </c>
      <c r="G29" s="20" t="n">
        <v>990</v>
      </c>
      <c r="H29" s="20" t="n">
        <v>0</v>
      </c>
      <c r="I29" s="23" t="n">
        <f aca="false">Hypothèses!$B$13</f>
        <v>41.423588376433</v>
      </c>
      <c r="J29" s="23" t="n">
        <f aca="false">Hypothèses!$B$13</f>
        <v>41.423588376433</v>
      </c>
      <c r="K29" s="21" t="n">
        <f aca="false">H29</f>
        <v>0</v>
      </c>
      <c r="L29" s="7" t="s">
        <v>106</v>
      </c>
      <c r="M29" s="8" t="n">
        <f aca="false">F29+12*H29+I29</f>
        <v>1031.42358837643</v>
      </c>
      <c r="N29" s="8" t="n">
        <f aca="false">G29+12*H29+I29</f>
        <v>1031.42358837643</v>
      </c>
      <c r="O29" s="8" t="n">
        <f aca="false">M29+12*H29+J29</f>
        <v>1072.84717675287</v>
      </c>
      <c r="P29" s="8" t="n">
        <f aca="false">N29+12*H29+J29</f>
        <v>1072.84717675287</v>
      </c>
      <c r="Q29" s="8" t="n">
        <f aca="false">O29+12*K29+J29</f>
        <v>1114.2707651293</v>
      </c>
      <c r="R29" s="8" t="n">
        <f aca="false">P29+12*K29+J29</f>
        <v>1114.2707651293</v>
      </c>
      <c r="S29" s="8" t="n">
        <f aca="false">(M29+N29)/2</f>
        <v>1031.42358837643</v>
      </c>
      <c r="T29" s="8" t="n">
        <f aca="false">(O29+P29)/2</f>
        <v>1072.84717675287</v>
      </c>
      <c r="U29" s="8" t="n">
        <f aca="false">(Q29+R29)/2</f>
        <v>1114.2707651293</v>
      </c>
      <c r="V29" s="7"/>
      <c r="W29" s="22" t="s">
        <v>204</v>
      </c>
      <c r="X29" s="7" t="s">
        <v>167</v>
      </c>
      <c r="Y29" s="7" t="s">
        <v>108</v>
      </c>
      <c r="Z29" s="7" t="s">
        <v>205</v>
      </c>
    </row>
    <row r="30" customFormat="false" ht="15" hidden="false" customHeight="false" outlineLevel="0" collapsed="false">
      <c r="A30" s="7" t="n">
        <v>29</v>
      </c>
      <c r="B30" s="7" t="s">
        <v>33</v>
      </c>
      <c r="C30" s="7" t="s">
        <v>30</v>
      </c>
      <c r="D30" s="7" t="s">
        <v>206</v>
      </c>
      <c r="E30" s="7" t="s">
        <v>207</v>
      </c>
      <c r="F30" s="20" t="n">
        <v>990</v>
      </c>
      <c r="G30" s="20" t="n">
        <v>990</v>
      </c>
      <c r="H30" s="20" t="n">
        <v>0</v>
      </c>
      <c r="I30" s="23" t="n">
        <f aca="false">Hypothèses!$B$13</f>
        <v>41.423588376433</v>
      </c>
      <c r="J30" s="23" t="n">
        <f aca="false">Hypothèses!$B$13</f>
        <v>41.423588376433</v>
      </c>
      <c r="K30" s="21" t="n">
        <f aca="false">H30</f>
        <v>0</v>
      </c>
      <c r="L30" s="7" t="s">
        <v>106</v>
      </c>
      <c r="M30" s="8" t="n">
        <f aca="false">F30+12*H30+I30</f>
        <v>1031.42358837643</v>
      </c>
      <c r="N30" s="8" t="n">
        <f aca="false">G30+12*H30+I30</f>
        <v>1031.42358837643</v>
      </c>
      <c r="O30" s="8" t="n">
        <f aca="false">M30+12*H30+J30</f>
        <v>1072.84717675287</v>
      </c>
      <c r="P30" s="8" t="n">
        <f aca="false">N30+12*H30+J30</f>
        <v>1072.84717675287</v>
      </c>
      <c r="Q30" s="8" t="n">
        <f aca="false">O30+12*K30+J30</f>
        <v>1114.2707651293</v>
      </c>
      <c r="R30" s="8" t="n">
        <f aca="false">P30+12*K30+J30</f>
        <v>1114.2707651293</v>
      </c>
      <c r="S30" s="8" t="n">
        <f aca="false">(M30+N30)/2</f>
        <v>1031.42358837643</v>
      </c>
      <c r="T30" s="8" t="n">
        <f aca="false">(O30+P30)/2</f>
        <v>1072.84717675287</v>
      </c>
      <c r="U30" s="8" t="n">
        <f aca="false">(Q30+R30)/2</f>
        <v>1114.2707651293</v>
      </c>
      <c r="V30" s="7" t="s">
        <v>208</v>
      </c>
      <c r="W30" s="22" t="s">
        <v>209</v>
      </c>
      <c r="X30" s="7" t="s">
        <v>163</v>
      </c>
      <c r="Y30" s="7" t="s">
        <v>108</v>
      </c>
      <c r="Z30" s="7" t="s">
        <v>205</v>
      </c>
    </row>
    <row r="31" customFormat="false" ht="15" hidden="false" customHeight="false" outlineLevel="0" collapsed="false">
      <c r="A31" s="7" t="n">
        <v>30</v>
      </c>
      <c r="B31" s="7" t="s">
        <v>33</v>
      </c>
      <c r="C31" s="7" t="s">
        <v>30</v>
      </c>
      <c r="D31" s="7" t="s">
        <v>210</v>
      </c>
      <c r="E31" s="7" t="s">
        <v>211</v>
      </c>
      <c r="F31" s="21" t="n">
        <f aca="false">990/1.2</f>
        <v>825</v>
      </c>
      <c r="G31" s="21" t="n">
        <f aca="false">990/1.2</f>
        <v>825</v>
      </c>
      <c r="H31" s="20" t="n">
        <v>0</v>
      </c>
      <c r="I31" s="23" t="n">
        <f aca="false">Hypothèses!$B$13</f>
        <v>41.423588376433</v>
      </c>
      <c r="J31" s="23" t="n">
        <f aca="false">Hypothèses!$B$13</f>
        <v>41.423588376433</v>
      </c>
      <c r="K31" s="21" t="n">
        <f aca="false">H31</f>
        <v>0</v>
      </c>
      <c r="L31" s="7" t="s">
        <v>106</v>
      </c>
      <c r="M31" s="8" t="n">
        <f aca="false">F31+12*H31+I31</f>
        <v>866.423588376433</v>
      </c>
      <c r="N31" s="8" t="n">
        <f aca="false">G31+12*H31+I31</f>
        <v>866.423588376433</v>
      </c>
      <c r="O31" s="8" t="n">
        <f aca="false">M31+12*H31+J31</f>
        <v>907.847176752866</v>
      </c>
      <c r="P31" s="8" t="n">
        <f aca="false">N31+12*H31+J31</f>
        <v>907.847176752866</v>
      </c>
      <c r="Q31" s="8" t="n">
        <f aca="false">O31+12*K31+J31</f>
        <v>949.270765129299</v>
      </c>
      <c r="R31" s="8" t="n">
        <f aca="false">P31+12*K31+J31</f>
        <v>949.270765129299</v>
      </c>
      <c r="S31" s="8" t="n">
        <f aca="false">(M31+N31)/2</f>
        <v>866.423588376433</v>
      </c>
      <c r="T31" s="8" t="n">
        <f aca="false">(O31+P31)/2</f>
        <v>907.847176752866</v>
      </c>
      <c r="U31" s="8" t="n">
        <f aca="false">(Q31+R31)/2</f>
        <v>949.270765129299</v>
      </c>
      <c r="V31" s="7" t="s">
        <v>212</v>
      </c>
      <c r="W31" s="22" t="s">
        <v>213</v>
      </c>
      <c r="X31" s="7" t="s">
        <v>214</v>
      </c>
      <c r="Y31" s="7" t="s">
        <v>108</v>
      </c>
      <c r="Z31" s="7" t="s">
        <v>215</v>
      </c>
    </row>
    <row r="32" customFormat="false" ht="15" hidden="false" customHeight="false" outlineLevel="0" collapsed="false">
      <c r="A32" s="7" t="n">
        <v>31</v>
      </c>
      <c r="B32" s="7" t="s">
        <v>33</v>
      </c>
      <c r="C32" s="7" t="s">
        <v>30</v>
      </c>
      <c r="D32" s="7" t="s">
        <v>216</v>
      </c>
      <c r="E32" s="7" t="s">
        <v>217</v>
      </c>
      <c r="F32" s="20" t="n">
        <v>800</v>
      </c>
      <c r="G32" s="20" t="n">
        <v>1500</v>
      </c>
      <c r="H32" s="20" t="n">
        <v>0</v>
      </c>
      <c r="I32" s="23" t="n">
        <f aca="false">Hypothèses!$B$13</f>
        <v>41.423588376433</v>
      </c>
      <c r="J32" s="23" t="n">
        <f aca="false">Hypothèses!$B$13</f>
        <v>41.423588376433</v>
      </c>
      <c r="K32" s="21" t="n">
        <f aca="false">H32</f>
        <v>0</v>
      </c>
      <c r="L32" s="7" t="s">
        <v>106</v>
      </c>
      <c r="M32" s="8" t="n">
        <f aca="false">F32+12*H32+I32</f>
        <v>841.423588376433</v>
      </c>
      <c r="N32" s="8" t="n">
        <f aca="false">G32+12*H32+I32</f>
        <v>1541.42358837643</v>
      </c>
      <c r="O32" s="8" t="n">
        <f aca="false">M32+12*H32+J32</f>
        <v>882.847176752866</v>
      </c>
      <c r="P32" s="8" t="n">
        <f aca="false">N32+12*H32+J32</f>
        <v>1582.84717675287</v>
      </c>
      <c r="Q32" s="8" t="n">
        <f aca="false">O32+12*K32+J32</f>
        <v>924.270765129299</v>
      </c>
      <c r="R32" s="8" t="n">
        <f aca="false">P32+12*K32+J32</f>
        <v>1624.2707651293</v>
      </c>
      <c r="S32" s="8" t="n">
        <f aca="false">(M32+N32)/2</f>
        <v>1191.42358837643</v>
      </c>
      <c r="T32" s="8" t="n">
        <f aca="false">(O32+P32)/2</f>
        <v>1232.84717675287</v>
      </c>
      <c r="U32" s="8" t="n">
        <f aca="false">(Q32+R32)/2</f>
        <v>1274.2707651293</v>
      </c>
      <c r="V32" s="7" t="s">
        <v>218</v>
      </c>
      <c r="W32" s="22" t="s">
        <v>209</v>
      </c>
      <c r="X32" s="7" t="s">
        <v>184</v>
      </c>
      <c r="Y32" s="7" t="s">
        <v>108</v>
      </c>
      <c r="Z32" s="7" t="s">
        <v>164</v>
      </c>
    </row>
    <row r="33" customFormat="false" ht="15" hidden="false" customHeight="false" outlineLevel="0" collapsed="false">
      <c r="A33" s="7" t="n">
        <v>32</v>
      </c>
      <c r="B33" s="7" t="s">
        <v>33</v>
      </c>
      <c r="C33" s="7" t="s">
        <v>30</v>
      </c>
      <c r="D33" s="7" t="s">
        <v>219</v>
      </c>
      <c r="E33" s="7" t="s">
        <v>220</v>
      </c>
      <c r="F33" s="20" t="n">
        <v>500</v>
      </c>
      <c r="G33" s="20" t="n">
        <v>1500</v>
      </c>
      <c r="H33" s="20" t="n">
        <v>0</v>
      </c>
      <c r="I33" s="23" t="n">
        <f aca="false">Hypothèses!$B$13</f>
        <v>41.423588376433</v>
      </c>
      <c r="J33" s="23" t="n">
        <f aca="false">Hypothèses!$B$13</f>
        <v>41.423588376433</v>
      </c>
      <c r="K33" s="21" t="n">
        <f aca="false">H33</f>
        <v>0</v>
      </c>
      <c r="L33" s="7" t="s">
        <v>106</v>
      </c>
      <c r="M33" s="8" t="n">
        <f aca="false">F33+12*H33+I33</f>
        <v>541.423588376433</v>
      </c>
      <c r="N33" s="8" t="n">
        <f aca="false">G33+12*H33+I33</f>
        <v>1541.42358837643</v>
      </c>
      <c r="O33" s="8" t="n">
        <f aca="false">M33+12*H33+J33</f>
        <v>582.847176752866</v>
      </c>
      <c r="P33" s="8" t="n">
        <f aca="false">N33+12*H33+J33</f>
        <v>1582.84717675287</v>
      </c>
      <c r="Q33" s="8" t="n">
        <f aca="false">O33+12*K33+J33</f>
        <v>624.270765129299</v>
      </c>
      <c r="R33" s="8" t="n">
        <f aca="false">P33+12*K33+J33</f>
        <v>1624.2707651293</v>
      </c>
      <c r="S33" s="8" t="n">
        <f aca="false">(M33+N33)/2</f>
        <v>1041.42358837643</v>
      </c>
      <c r="T33" s="8" t="n">
        <f aca="false">(O33+P33)/2</f>
        <v>1082.84717675287</v>
      </c>
      <c r="U33" s="8" t="n">
        <f aca="false">(Q33+R33)/2</f>
        <v>1124.2707651293</v>
      </c>
      <c r="V33" s="7" t="s">
        <v>218</v>
      </c>
      <c r="W33" s="22" t="s">
        <v>171</v>
      </c>
      <c r="X33" s="7" t="s">
        <v>184</v>
      </c>
      <c r="Y33" s="7" t="s">
        <v>108</v>
      </c>
      <c r="Z33" s="7" t="s">
        <v>164</v>
      </c>
    </row>
    <row r="34" customFormat="false" ht="15" hidden="false" customHeight="false" outlineLevel="0" collapsed="false">
      <c r="A34" s="7" t="n">
        <v>33</v>
      </c>
      <c r="B34" s="7" t="s">
        <v>33</v>
      </c>
      <c r="C34" s="7" t="s">
        <v>30</v>
      </c>
      <c r="D34" s="7" t="s">
        <v>221</v>
      </c>
      <c r="E34" s="7" t="s">
        <v>222</v>
      </c>
      <c r="F34" s="20" t="n">
        <v>500</v>
      </c>
      <c r="G34" s="20" t="n">
        <v>1500</v>
      </c>
      <c r="H34" s="20" t="n">
        <v>0</v>
      </c>
      <c r="I34" s="23" t="n">
        <f aca="false">Hypothèses!$B$13</f>
        <v>41.423588376433</v>
      </c>
      <c r="J34" s="23" t="n">
        <f aca="false">Hypothèses!$B$13</f>
        <v>41.423588376433</v>
      </c>
      <c r="K34" s="21" t="n">
        <f aca="false">H34</f>
        <v>0</v>
      </c>
      <c r="L34" s="7" t="s">
        <v>106</v>
      </c>
      <c r="M34" s="8" t="n">
        <f aca="false">F34+12*H34+I34</f>
        <v>541.423588376433</v>
      </c>
      <c r="N34" s="8" t="n">
        <f aca="false">G34+12*H34+I34</f>
        <v>1541.42358837643</v>
      </c>
      <c r="O34" s="8" t="n">
        <f aca="false">M34+12*H34+J34</f>
        <v>582.847176752866</v>
      </c>
      <c r="P34" s="8" t="n">
        <f aca="false">N34+12*H34+J34</f>
        <v>1582.84717675287</v>
      </c>
      <c r="Q34" s="8" t="n">
        <f aca="false">O34+12*K34+J34</f>
        <v>624.270765129299</v>
      </c>
      <c r="R34" s="8" t="n">
        <f aca="false">P34+12*K34+J34</f>
        <v>1624.2707651293</v>
      </c>
      <c r="S34" s="8" t="n">
        <f aca="false">(M34+N34)/2</f>
        <v>1041.42358837643</v>
      </c>
      <c r="T34" s="8" t="n">
        <f aca="false">(O34+P34)/2</f>
        <v>1082.84717675287</v>
      </c>
      <c r="U34" s="8" t="n">
        <f aca="false">(Q34+R34)/2</f>
        <v>1124.2707651293</v>
      </c>
      <c r="V34" s="7" t="s">
        <v>218</v>
      </c>
      <c r="W34" s="22" t="s">
        <v>223</v>
      </c>
      <c r="X34" s="7" t="s">
        <v>184</v>
      </c>
      <c r="Y34" s="7" t="s">
        <v>108</v>
      </c>
      <c r="Z34" s="7" t="s">
        <v>164</v>
      </c>
    </row>
    <row r="35" customFormat="false" ht="15" hidden="false" customHeight="false" outlineLevel="0" collapsed="false">
      <c r="A35" s="7" t="n">
        <v>34</v>
      </c>
      <c r="B35" s="7" t="s">
        <v>33</v>
      </c>
      <c r="C35" s="7" t="s">
        <v>30</v>
      </c>
      <c r="D35" s="7" t="s">
        <v>224</v>
      </c>
      <c r="E35" s="7" t="s">
        <v>225</v>
      </c>
      <c r="F35" s="20" t="n">
        <v>590</v>
      </c>
      <c r="G35" s="20" t="n">
        <v>2500</v>
      </c>
      <c r="H35" s="20" t="n">
        <v>0</v>
      </c>
      <c r="I35" s="23" t="n">
        <f aca="false">Hypothèses!$B$13</f>
        <v>41.423588376433</v>
      </c>
      <c r="J35" s="23" t="n">
        <f aca="false">Hypothèses!$B$13</f>
        <v>41.423588376433</v>
      </c>
      <c r="K35" s="21" t="n">
        <f aca="false">H35</f>
        <v>0</v>
      </c>
      <c r="L35" s="7" t="s">
        <v>106</v>
      </c>
      <c r="M35" s="8" t="n">
        <f aca="false">F35+12*H35+I35</f>
        <v>631.423588376433</v>
      </c>
      <c r="N35" s="8" t="n">
        <f aca="false">G35+12*H35+I35</f>
        <v>2541.42358837643</v>
      </c>
      <c r="O35" s="8" t="n">
        <f aca="false">M35+12*H35+J35</f>
        <v>672.847176752866</v>
      </c>
      <c r="P35" s="8" t="n">
        <f aca="false">N35+12*H35+J35</f>
        <v>2582.84717675287</v>
      </c>
      <c r="Q35" s="8" t="n">
        <f aca="false">O35+12*K35+J35</f>
        <v>714.270765129299</v>
      </c>
      <c r="R35" s="8" t="n">
        <f aca="false">P35+12*K35+J35</f>
        <v>2624.2707651293</v>
      </c>
      <c r="S35" s="8" t="n">
        <f aca="false">(M35+N35)/2</f>
        <v>1586.42358837643</v>
      </c>
      <c r="T35" s="8" t="n">
        <f aca="false">(O35+P35)/2</f>
        <v>1627.84717675287</v>
      </c>
      <c r="U35" s="8" t="n">
        <f aca="false">(Q35+R35)/2</f>
        <v>1669.2707651293</v>
      </c>
      <c r="V35" s="7" t="s">
        <v>226</v>
      </c>
      <c r="W35" s="22" t="s">
        <v>192</v>
      </c>
      <c r="X35" s="7" t="s">
        <v>184</v>
      </c>
      <c r="Y35" s="7" t="s">
        <v>108</v>
      </c>
      <c r="Z35" s="7" t="s">
        <v>109</v>
      </c>
    </row>
    <row r="36" customFormat="false" ht="15" hidden="false" customHeight="false" outlineLevel="0" collapsed="false">
      <c r="A36" s="7" t="n">
        <v>35</v>
      </c>
      <c r="B36" s="7" t="s">
        <v>34</v>
      </c>
      <c r="C36" s="7" t="s">
        <v>30</v>
      </c>
      <c r="D36" s="7" t="s">
        <v>227</v>
      </c>
      <c r="E36" s="7" t="s">
        <v>228</v>
      </c>
      <c r="F36" s="20" t="n">
        <v>0</v>
      </c>
      <c r="G36" s="20" t="n">
        <v>0</v>
      </c>
      <c r="H36" s="21" t="n">
        <f aca="false">39</f>
        <v>39</v>
      </c>
      <c r="I36" s="20" t="n">
        <v>0</v>
      </c>
      <c r="J36" s="20" t="n">
        <v>0</v>
      </c>
      <c r="K36" s="21" t="n">
        <f aca="false">H36</f>
        <v>39</v>
      </c>
      <c r="L36" s="7" t="s">
        <v>229</v>
      </c>
      <c r="M36" s="8" t="n">
        <f aca="false">F36+12*H36+I36</f>
        <v>468</v>
      </c>
      <c r="N36" s="8" t="n">
        <f aca="false">G36+12*H36+I36</f>
        <v>468</v>
      </c>
      <c r="O36" s="8" t="n">
        <f aca="false">M36+12*H36+J36</f>
        <v>936</v>
      </c>
      <c r="P36" s="8" t="n">
        <f aca="false">N36+12*H36+J36</f>
        <v>936</v>
      </c>
      <c r="Q36" s="8" t="n">
        <f aca="false">O36+12*K36+J36</f>
        <v>1404</v>
      </c>
      <c r="R36" s="8" t="n">
        <f aca="false">P36+12*K36+J36</f>
        <v>1404</v>
      </c>
      <c r="S36" s="8" t="n">
        <f aca="false">(M36+N36)/2</f>
        <v>468</v>
      </c>
      <c r="T36" s="8" t="n">
        <f aca="false">(O36+P36)/2</f>
        <v>936</v>
      </c>
      <c r="U36" s="8" t="n">
        <f aca="false">(Q36+R36)/2</f>
        <v>1404</v>
      </c>
      <c r="V36" s="7" t="s">
        <v>230</v>
      </c>
      <c r="W36" s="22" t="s">
        <v>231</v>
      </c>
      <c r="X36" s="7" t="s">
        <v>193</v>
      </c>
      <c r="Y36" s="7" t="s">
        <v>108</v>
      </c>
      <c r="Z36" s="7" t="s">
        <v>232</v>
      </c>
    </row>
    <row r="37" customFormat="false" ht="15" hidden="false" customHeight="false" outlineLevel="0" collapsed="false">
      <c r="A37" s="7" t="n">
        <v>36</v>
      </c>
      <c r="B37" s="7" t="s">
        <v>34</v>
      </c>
      <c r="C37" s="7" t="s">
        <v>30</v>
      </c>
      <c r="D37" s="7" t="s">
        <v>233</v>
      </c>
      <c r="E37" s="7" t="s">
        <v>234</v>
      </c>
      <c r="F37" s="20" t="n">
        <v>99</v>
      </c>
      <c r="G37" s="20" t="n">
        <v>199</v>
      </c>
      <c r="H37" s="21" t="n">
        <f aca="false">29.99</f>
        <v>29.99</v>
      </c>
      <c r="I37" s="20" t="n">
        <v>0</v>
      </c>
      <c r="J37" s="20" t="n">
        <v>0</v>
      </c>
      <c r="K37" s="21" t="n">
        <f aca="false">H37</f>
        <v>29.99</v>
      </c>
      <c r="L37" s="7" t="s">
        <v>229</v>
      </c>
      <c r="M37" s="8" t="n">
        <f aca="false">F37+12*H37+I37</f>
        <v>458.88</v>
      </c>
      <c r="N37" s="8" t="n">
        <f aca="false">G37+12*H37+I37</f>
        <v>558.88</v>
      </c>
      <c r="O37" s="8" t="n">
        <f aca="false">M37+12*H37+J37</f>
        <v>818.76</v>
      </c>
      <c r="P37" s="8" t="n">
        <f aca="false">N37+12*H37+J37</f>
        <v>918.76</v>
      </c>
      <c r="Q37" s="8" t="n">
        <f aca="false">O37+12*K37+J37</f>
        <v>1178.64</v>
      </c>
      <c r="R37" s="8" t="n">
        <f aca="false">P37+12*K37+J37</f>
        <v>1278.64</v>
      </c>
      <c r="S37" s="8" t="n">
        <f aca="false">(M37+N37)/2</f>
        <v>508.88</v>
      </c>
      <c r="T37" s="8" t="n">
        <f aca="false">(O37+P37)/2</f>
        <v>868.76</v>
      </c>
      <c r="U37" s="8" t="n">
        <f aca="false">(Q37+R37)/2</f>
        <v>1228.64</v>
      </c>
      <c r="V37" s="7" t="s">
        <v>235</v>
      </c>
      <c r="W37" s="22" t="s">
        <v>236</v>
      </c>
      <c r="X37" s="7" t="s">
        <v>193</v>
      </c>
      <c r="Y37" s="7" t="s">
        <v>108</v>
      </c>
      <c r="Z37" s="7" t="s">
        <v>232</v>
      </c>
    </row>
    <row r="38" customFormat="false" ht="15" hidden="false" customHeight="false" outlineLevel="0" collapsed="false">
      <c r="A38" s="7" t="n">
        <v>37</v>
      </c>
      <c r="B38" s="7" t="s">
        <v>34</v>
      </c>
      <c r="C38" s="7" t="s">
        <v>30</v>
      </c>
      <c r="D38" s="7" t="s">
        <v>237</v>
      </c>
      <c r="E38" s="7" t="s">
        <v>238</v>
      </c>
      <c r="F38" s="20" t="n">
        <v>0</v>
      </c>
      <c r="G38" s="20" t="n">
        <v>0</v>
      </c>
      <c r="H38" s="21" t="n">
        <f aca="false">34.9</f>
        <v>34.9</v>
      </c>
      <c r="I38" s="20" t="n">
        <v>0</v>
      </c>
      <c r="J38" s="20" t="n">
        <v>0</v>
      </c>
      <c r="K38" s="21" t="n">
        <f aca="false">H38</f>
        <v>34.9</v>
      </c>
      <c r="L38" s="7" t="s">
        <v>229</v>
      </c>
      <c r="M38" s="8" t="n">
        <f aca="false">F38+12*H38+I38</f>
        <v>418.8</v>
      </c>
      <c r="N38" s="8" t="n">
        <f aca="false">G38+12*H38+I38</f>
        <v>418.8</v>
      </c>
      <c r="O38" s="8" t="n">
        <f aca="false">M38+12*H38+J38</f>
        <v>837.6</v>
      </c>
      <c r="P38" s="8" t="n">
        <f aca="false">N38+12*H38+J38</f>
        <v>837.6</v>
      </c>
      <c r="Q38" s="8" t="n">
        <f aca="false">O38+12*K38+J38</f>
        <v>1256.4</v>
      </c>
      <c r="R38" s="8" t="n">
        <f aca="false">P38+12*K38+J38</f>
        <v>1256.4</v>
      </c>
      <c r="S38" s="8" t="n">
        <f aca="false">(M38+N38)/2</f>
        <v>418.8</v>
      </c>
      <c r="T38" s="8" t="n">
        <f aca="false">(O38+P38)/2</f>
        <v>837.6</v>
      </c>
      <c r="U38" s="8" t="n">
        <f aca="false">(Q38+R38)/2</f>
        <v>1256.4</v>
      </c>
      <c r="V38" s="7" t="s">
        <v>239</v>
      </c>
      <c r="W38" s="22" t="s">
        <v>240</v>
      </c>
      <c r="X38" s="7" t="s">
        <v>193</v>
      </c>
      <c r="Y38" s="7" t="s">
        <v>108</v>
      </c>
      <c r="Z38" s="7" t="s">
        <v>232</v>
      </c>
    </row>
    <row r="39" customFormat="false" ht="15" hidden="false" customHeight="false" outlineLevel="0" collapsed="false">
      <c r="A39" s="7" t="n">
        <v>38</v>
      </c>
      <c r="B39" s="7" t="s">
        <v>34</v>
      </c>
      <c r="C39" s="7" t="s">
        <v>30</v>
      </c>
      <c r="D39" s="7" t="s">
        <v>241</v>
      </c>
      <c r="E39" s="7" t="s">
        <v>242</v>
      </c>
      <c r="F39" s="20" t="n">
        <v>999</v>
      </c>
      <c r="G39" s="20" t="n">
        <v>999</v>
      </c>
      <c r="H39" s="21" t="n">
        <f aca="false">34.99</f>
        <v>34.99</v>
      </c>
      <c r="I39" s="20" t="n">
        <v>0</v>
      </c>
      <c r="J39" s="20" t="n">
        <v>0</v>
      </c>
      <c r="K39" s="21" t="n">
        <f aca="false">H39</f>
        <v>34.99</v>
      </c>
      <c r="L39" s="7" t="s">
        <v>164</v>
      </c>
      <c r="M39" s="8" t="n">
        <f aca="false">F39+12*H39+I39</f>
        <v>1418.88</v>
      </c>
      <c r="N39" s="8" t="n">
        <f aca="false">G39+12*H39+I39</f>
        <v>1418.88</v>
      </c>
      <c r="O39" s="8" t="n">
        <f aca="false">M39+12*H39+J39</f>
        <v>1838.76</v>
      </c>
      <c r="P39" s="8" t="n">
        <f aca="false">N39+12*H39+J39</f>
        <v>1838.76</v>
      </c>
      <c r="Q39" s="8" t="n">
        <f aca="false">O39+12*K39+J39</f>
        <v>2258.64</v>
      </c>
      <c r="R39" s="8" t="n">
        <f aca="false">P39+12*K39+J39</f>
        <v>2258.64</v>
      </c>
      <c r="S39" s="8" t="n">
        <f aca="false">(M39+N39)/2</f>
        <v>1418.88</v>
      </c>
      <c r="T39" s="8" t="n">
        <f aca="false">(O39+P39)/2</f>
        <v>1838.76</v>
      </c>
      <c r="U39" s="8" t="n">
        <f aca="false">(Q39+R39)/2</f>
        <v>2258.64</v>
      </c>
      <c r="V39" s="7" t="s">
        <v>243</v>
      </c>
      <c r="W39" s="22" t="s">
        <v>176</v>
      </c>
      <c r="X39" s="7" t="s">
        <v>177</v>
      </c>
      <c r="Y39" s="7" t="s">
        <v>108</v>
      </c>
      <c r="Z39" s="7" t="s">
        <v>232</v>
      </c>
    </row>
    <row r="40" customFormat="false" ht="15" hidden="false" customHeight="false" outlineLevel="0" collapsed="false">
      <c r="A40" s="7" t="n">
        <v>39</v>
      </c>
      <c r="B40" s="7" t="s">
        <v>34</v>
      </c>
      <c r="C40" s="7" t="s">
        <v>30</v>
      </c>
      <c r="D40" s="7" t="s">
        <v>244</v>
      </c>
      <c r="E40" s="7" t="s">
        <v>245</v>
      </c>
      <c r="F40" s="20" t="n">
        <v>0</v>
      </c>
      <c r="G40" s="20" t="n">
        <v>0</v>
      </c>
      <c r="H40" s="21" t="n">
        <f aca="false">40</f>
        <v>40</v>
      </c>
      <c r="I40" s="20" t="n">
        <v>0</v>
      </c>
      <c r="J40" s="20" t="n">
        <v>0</v>
      </c>
      <c r="K40" s="21" t="n">
        <f aca="false">H40</f>
        <v>40</v>
      </c>
      <c r="L40" s="7" t="s">
        <v>246</v>
      </c>
      <c r="M40" s="8" t="n">
        <f aca="false">F40+12*H40+I40</f>
        <v>480</v>
      </c>
      <c r="N40" s="8" t="n">
        <f aca="false">G40+12*H40+I40</f>
        <v>480</v>
      </c>
      <c r="O40" s="8" t="n">
        <f aca="false">M40+12*H40+J40</f>
        <v>960</v>
      </c>
      <c r="P40" s="8" t="n">
        <f aca="false">N40+12*H40+J40</f>
        <v>960</v>
      </c>
      <c r="Q40" s="8" t="n">
        <f aca="false">O40+12*K40+J40</f>
        <v>1440</v>
      </c>
      <c r="R40" s="8" t="n">
        <f aca="false">P40+12*K40+J40</f>
        <v>1440</v>
      </c>
      <c r="S40" s="8" t="n">
        <f aca="false">(M40+N40)/2</f>
        <v>480</v>
      </c>
      <c r="T40" s="8" t="n">
        <f aca="false">(O40+P40)/2</f>
        <v>960</v>
      </c>
      <c r="U40" s="8" t="n">
        <f aca="false">(Q40+R40)/2</f>
        <v>1440</v>
      </c>
      <c r="V40" s="7" t="s">
        <v>247</v>
      </c>
      <c r="W40" s="22" t="s">
        <v>183</v>
      </c>
      <c r="X40" s="7" t="s">
        <v>193</v>
      </c>
      <c r="Y40" s="7" t="s">
        <v>108</v>
      </c>
      <c r="Z40" s="7" t="s">
        <v>232</v>
      </c>
    </row>
    <row r="41" customFormat="false" ht="15" hidden="false" customHeight="false" outlineLevel="0" collapsed="false">
      <c r="A41" s="7" t="n">
        <v>40</v>
      </c>
      <c r="B41" s="7" t="s">
        <v>34</v>
      </c>
      <c r="C41" s="7" t="s">
        <v>30</v>
      </c>
      <c r="D41" s="7" t="s">
        <v>248</v>
      </c>
      <c r="E41" s="7" t="s">
        <v>249</v>
      </c>
      <c r="F41" s="20" t="n">
        <v>400</v>
      </c>
      <c r="G41" s="20" t="n">
        <v>400</v>
      </c>
      <c r="H41" s="21" t="n">
        <f aca="false">50</f>
        <v>50</v>
      </c>
      <c r="I41" s="20" t="n">
        <v>0</v>
      </c>
      <c r="J41" s="20" t="n">
        <v>0</v>
      </c>
      <c r="K41" s="21" t="n">
        <f aca="false">H41</f>
        <v>50</v>
      </c>
      <c r="L41" s="7" t="s">
        <v>250</v>
      </c>
      <c r="M41" s="8" t="n">
        <f aca="false">F41+12*H41+I41</f>
        <v>1000</v>
      </c>
      <c r="N41" s="8" t="n">
        <f aca="false">G41+12*H41+I41</f>
        <v>1000</v>
      </c>
      <c r="O41" s="8" t="n">
        <f aca="false">M41+12*H41+J41</f>
        <v>1600</v>
      </c>
      <c r="P41" s="8" t="n">
        <f aca="false">N41+12*H41+J41</f>
        <v>1600</v>
      </c>
      <c r="Q41" s="8" t="n">
        <f aca="false">O41+12*K41+J41</f>
        <v>2200</v>
      </c>
      <c r="R41" s="8" t="n">
        <f aca="false">P41+12*K41+J41</f>
        <v>2200</v>
      </c>
      <c r="S41" s="8" t="n">
        <f aca="false">(M41+N41)/2</f>
        <v>1000</v>
      </c>
      <c r="T41" s="8" t="n">
        <f aca="false">(O41+P41)/2</f>
        <v>1600</v>
      </c>
      <c r="U41" s="8" t="n">
        <f aca="false">(Q41+R41)/2</f>
        <v>2200</v>
      </c>
      <c r="V41" s="7" t="s">
        <v>251</v>
      </c>
      <c r="W41" s="22" t="s">
        <v>252</v>
      </c>
      <c r="X41" s="7" t="s">
        <v>253</v>
      </c>
      <c r="Y41" s="7" t="s">
        <v>108</v>
      </c>
      <c r="Z41" s="7" t="s">
        <v>232</v>
      </c>
    </row>
    <row r="42" customFormat="false" ht="15" hidden="false" customHeight="false" outlineLevel="0" collapsed="false">
      <c r="A42" s="7" t="n">
        <v>41</v>
      </c>
      <c r="B42" s="7" t="s">
        <v>34</v>
      </c>
      <c r="C42" s="7" t="s">
        <v>30</v>
      </c>
      <c r="D42" s="7" t="s">
        <v>254</v>
      </c>
      <c r="E42" s="7" t="s">
        <v>255</v>
      </c>
      <c r="F42" s="20" t="n">
        <v>1490</v>
      </c>
      <c r="G42" s="20" t="n">
        <v>1490</v>
      </c>
      <c r="H42" s="21" t="n">
        <f aca="false">490/12</f>
        <v>40.8333333333333</v>
      </c>
      <c r="I42" s="20" t="n">
        <v>0</v>
      </c>
      <c r="J42" s="20" t="n">
        <v>0</v>
      </c>
      <c r="K42" s="21" t="n">
        <f aca="false">H42</f>
        <v>40.8333333333333</v>
      </c>
      <c r="L42" s="7" t="s">
        <v>256</v>
      </c>
      <c r="M42" s="8" t="n">
        <f aca="false">F42+12*H42+I42</f>
        <v>1980</v>
      </c>
      <c r="N42" s="8" t="n">
        <f aca="false">G42+12*H42+I42</f>
        <v>1980</v>
      </c>
      <c r="O42" s="8" t="n">
        <f aca="false">M42+12*H42+J42</f>
        <v>2470</v>
      </c>
      <c r="P42" s="8" t="n">
        <f aca="false">N42+12*H42+J42</f>
        <v>2470</v>
      </c>
      <c r="Q42" s="8" t="n">
        <f aca="false">O42+12*K42+J42</f>
        <v>2960</v>
      </c>
      <c r="R42" s="8" t="n">
        <f aca="false">P42+12*K42+J42</f>
        <v>2960</v>
      </c>
      <c r="S42" s="8" t="n">
        <f aca="false">(M42+N42)/2</f>
        <v>1980</v>
      </c>
      <c r="T42" s="8" t="n">
        <f aca="false">(O42+P42)/2</f>
        <v>2470</v>
      </c>
      <c r="U42" s="8" t="n">
        <f aca="false">(Q42+R42)/2</f>
        <v>2960</v>
      </c>
      <c r="V42" s="7" t="s">
        <v>257</v>
      </c>
      <c r="W42" s="22" t="s">
        <v>258</v>
      </c>
      <c r="X42" s="7" t="s">
        <v>193</v>
      </c>
      <c r="Y42" s="7" t="s">
        <v>108</v>
      </c>
      <c r="Z42" s="7" t="s">
        <v>232</v>
      </c>
    </row>
    <row r="43" customFormat="false" ht="15" hidden="false" customHeight="false" outlineLevel="0" collapsed="false">
      <c r="A43" s="7" t="n">
        <v>42</v>
      </c>
      <c r="B43" s="7" t="s">
        <v>34</v>
      </c>
      <c r="C43" s="7" t="s">
        <v>30</v>
      </c>
      <c r="D43" s="7" t="s">
        <v>259</v>
      </c>
      <c r="E43" s="7" t="s">
        <v>260</v>
      </c>
      <c r="F43" s="20" t="n">
        <v>250</v>
      </c>
      <c r="G43" s="20" t="n">
        <v>250</v>
      </c>
      <c r="H43" s="21" t="n">
        <f aca="false">59</f>
        <v>59</v>
      </c>
      <c r="I43" s="20" t="n">
        <v>0</v>
      </c>
      <c r="J43" s="20" t="n">
        <v>0</v>
      </c>
      <c r="K43" s="21" t="n">
        <f aca="false">H43</f>
        <v>59</v>
      </c>
      <c r="L43" s="7" t="s">
        <v>261</v>
      </c>
      <c r="M43" s="8" t="n">
        <f aca="false">F43+12*H43+I43</f>
        <v>958</v>
      </c>
      <c r="N43" s="8" t="n">
        <f aca="false">G43+12*H43+I43</f>
        <v>958</v>
      </c>
      <c r="O43" s="8" t="n">
        <f aca="false">M43+12*H43+J43</f>
        <v>1666</v>
      </c>
      <c r="P43" s="8" t="n">
        <f aca="false">N43+12*H43+J43</f>
        <v>1666</v>
      </c>
      <c r="Q43" s="8" t="n">
        <f aca="false">O43+12*K43+J43</f>
        <v>2374</v>
      </c>
      <c r="R43" s="8" t="n">
        <f aca="false">P43+12*K43+J43</f>
        <v>2374</v>
      </c>
      <c r="S43" s="8" t="n">
        <f aca="false">(M43+N43)/2</f>
        <v>958</v>
      </c>
      <c r="T43" s="8" t="n">
        <f aca="false">(O43+P43)/2</f>
        <v>1666</v>
      </c>
      <c r="U43" s="8" t="n">
        <f aca="false">(Q43+R43)/2</f>
        <v>2374</v>
      </c>
      <c r="V43" s="7" t="s">
        <v>262</v>
      </c>
      <c r="W43" s="22" t="s">
        <v>263</v>
      </c>
      <c r="X43" s="7" t="s">
        <v>193</v>
      </c>
      <c r="Y43" s="7" t="s">
        <v>108</v>
      </c>
      <c r="Z43" s="7" t="s">
        <v>232</v>
      </c>
    </row>
    <row r="44" customFormat="false" ht="15" hidden="false" customHeight="false" outlineLevel="0" collapsed="false">
      <c r="A44" s="7" t="n">
        <v>43</v>
      </c>
      <c r="B44" s="7" t="s">
        <v>34</v>
      </c>
      <c r="C44" s="7" t="s">
        <v>30</v>
      </c>
      <c r="D44" s="7" t="s">
        <v>264</v>
      </c>
      <c r="E44" s="7" t="s">
        <v>265</v>
      </c>
      <c r="F44" s="20" t="n">
        <v>490</v>
      </c>
      <c r="G44" s="20" t="n">
        <v>490</v>
      </c>
      <c r="H44" s="21" t="n">
        <f aca="false">90</f>
        <v>90</v>
      </c>
      <c r="I44" s="20" t="n">
        <v>0</v>
      </c>
      <c r="J44" s="20" t="n">
        <v>0</v>
      </c>
      <c r="K44" s="21" t="n">
        <f aca="false">H44</f>
        <v>90</v>
      </c>
      <c r="L44" s="7" t="s">
        <v>246</v>
      </c>
      <c r="M44" s="8" t="n">
        <f aca="false">F44+12*H44+I44</f>
        <v>1570</v>
      </c>
      <c r="N44" s="8" t="n">
        <f aca="false">G44+12*H44+I44</f>
        <v>1570</v>
      </c>
      <c r="O44" s="8" t="n">
        <f aca="false">M44+12*H44+J44</f>
        <v>2650</v>
      </c>
      <c r="P44" s="8" t="n">
        <f aca="false">N44+12*H44+J44</f>
        <v>2650</v>
      </c>
      <c r="Q44" s="8" t="n">
        <f aca="false">O44+12*K44+J44</f>
        <v>3730</v>
      </c>
      <c r="R44" s="8" t="n">
        <f aca="false">P44+12*K44+J44</f>
        <v>3730</v>
      </c>
      <c r="S44" s="8" t="n">
        <f aca="false">(M44+N44)/2</f>
        <v>1570</v>
      </c>
      <c r="T44" s="8" t="n">
        <f aca="false">(O44+P44)/2</f>
        <v>2650</v>
      </c>
      <c r="U44" s="8" t="n">
        <f aca="false">(Q44+R44)/2</f>
        <v>3730</v>
      </c>
      <c r="V44" s="7" t="s">
        <v>266</v>
      </c>
      <c r="W44" s="22" t="s">
        <v>267</v>
      </c>
      <c r="X44" s="7" t="s">
        <v>163</v>
      </c>
      <c r="Y44" s="7" t="s">
        <v>108</v>
      </c>
      <c r="Z44" s="7" t="s">
        <v>232</v>
      </c>
    </row>
    <row r="45" customFormat="false" ht="15" hidden="false" customHeight="false" outlineLevel="0" collapsed="false">
      <c r="A45" s="7" t="n">
        <v>44</v>
      </c>
      <c r="B45" s="7" t="s">
        <v>34</v>
      </c>
      <c r="C45" s="7" t="s">
        <v>30</v>
      </c>
      <c r="D45" s="7" t="s">
        <v>268</v>
      </c>
      <c r="E45" s="7" t="s">
        <v>269</v>
      </c>
      <c r="F45" s="20" t="n">
        <v>0</v>
      </c>
      <c r="G45" s="20" t="n">
        <v>0</v>
      </c>
      <c r="H45" s="21" t="n">
        <f aca="false">79</f>
        <v>79</v>
      </c>
      <c r="I45" s="20" t="n">
        <v>0</v>
      </c>
      <c r="J45" s="20" t="n">
        <v>0</v>
      </c>
      <c r="K45" s="21" t="n">
        <f aca="false">98/12</f>
        <v>8.16666666666667</v>
      </c>
      <c r="L45" s="7" t="s">
        <v>261</v>
      </c>
      <c r="M45" s="8" t="n">
        <f aca="false">F45+12*H45+I45</f>
        <v>948</v>
      </c>
      <c r="N45" s="8" t="n">
        <f aca="false">G45+12*H45+I45</f>
        <v>948</v>
      </c>
      <c r="O45" s="8" t="n">
        <f aca="false">M45+12*H45+J45</f>
        <v>1896</v>
      </c>
      <c r="P45" s="8" t="n">
        <f aca="false">N45+12*H45+J45</f>
        <v>1896</v>
      </c>
      <c r="Q45" s="8" t="n">
        <f aca="false">O45+12*K45+J45</f>
        <v>1994</v>
      </c>
      <c r="R45" s="8" t="n">
        <f aca="false">P45+12*K45+J45</f>
        <v>1994</v>
      </c>
      <c r="S45" s="8" t="n">
        <f aca="false">(M45+N45)/2</f>
        <v>948</v>
      </c>
      <c r="T45" s="8" t="n">
        <f aca="false">(O45+P45)/2</f>
        <v>1896</v>
      </c>
      <c r="U45" s="8" t="n">
        <f aca="false">(Q45+R45)/2</f>
        <v>1994</v>
      </c>
      <c r="V45" s="7" t="s">
        <v>270</v>
      </c>
      <c r="W45" s="22" t="s">
        <v>271</v>
      </c>
      <c r="X45" s="7" t="s">
        <v>193</v>
      </c>
      <c r="Y45" s="7" t="s">
        <v>108</v>
      </c>
      <c r="Z45" s="7" t="s">
        <v>232</v>
      </c>
    </row>
    <row r="46" customFormat="false" ht="15" hidden="false" customHeight="false" outlineLevel="0" collapsed="false">
      <c r="A46" s="7" t="n">
        <v>45</v>
      </c>
      <c r="B46" s="7" t="s">
        <v>34</v>
      </c>
      <c r="C46" s="7" t="s">
        <v>30</v>
      </c>
      <c r="D46" s="7" t="s">
        <v>272</v>
      </c>
      <c r="E46" s="7" t="s">
        <v>273</v>
      </c>
      <c r="F46" s="20" t="n">
        <v>0</v>
      </c>
      <c r="G46" s="20" t="n">
        <v>0</v>
      </c>
      <c r="H46" s="21" t="n">
        <f aca="false">99</f>
        <v>99</v>
      </c>
      <c r="I46" s="20" t="n">
        <v>0</v>
      </c>
      <c r="J46" s="20" t="n">
        <v>0</v>
      </c>
      <c r="K46" s="21" t="n">
        <f aca="false">H46</f>
        <v>99</v>
      </c>
      <c r="L46" s="7" t="s">
        <v>229</v>
      </c>
      <c r="M46" s="8" t="n">
        <f aca="false">F46+12*H46+I46</f>
        <v>1188</v>
      </c>
      <c r="N46" s="8" t="n">
        <f aca="false">G46+12*H46+I46</f>
        <v>1188</v>
      </c>
      <c r="O46" s="8" t="n">
        <f aca="false">M46+12*H46+J46</f>
        <v>2376</v>
      </c>
      <c r="P46" s="8" t="n">
        <f aca="false">N46+12*H46+J46</f>
        <v>2376</v>
      </c>
      <c r="Q46" s="8" t="n">
        <f aca="false">O46+12*K46+J46</f>
        <v>3564</v>
      </c>
      <c r="R46" s="8" t="n">
        <f aca="false">P46+12*K46+J46</f>
        <v>3564</v>
      </c>
      <c r="S46" s="8" t="n">
        <f aca="false">(M46+N46)/2</f>
        <v>1188</v>
      </c>
      <c r="T46" s="8" t="n">
        <f aca="false">(O46+P46)/2</f>
        <v>2376</v>
      </c>
      <c r="U46" s="8" t="n">
        <f aca="false">(Q46+R46)/2</f>
        <v>3564</v>
      </c>
      <c r="V46" s="7" t="s">
        <v>274</v>
      </c>
      <c r="W46" s="22" t="s">
        <v>275</v>
      </c>
      <c r="X46" s="7" t="s">
        <v>193</v>
      </c>
      <c r="Y46" s="7" t="s">
        <v>108</v>
      </c>
      <c r="Z46" s="7" t="s">
        <v>232</v>
      </c>
    </row>
    <row r="47" customFormat="false" ht="15" hidden="false" customHeight="false" outlineLevel="0" collapsed="false">
      <c r="A47" s="7" t="n">
        <v>46</v>
      </c>
      <c r="B47" s="7" t="s">
        <v>34</v>
      </c>
      <c r="C47" s="7" t="s">
        <v>30</v>
      </c>
      <c r="D47" s="7" t="s">
        <v>276</v>
      </c>
      <c r="E47" s="7" t="s">
        <v>277</v>
      </c>
      <c r="F47" s="20" t="n">
        <v>0</v>
      </c>
      <c r="G47" s="20" t="n">
        <v>0</v>
      </c>
      <c r="H47" s="21" t="n">
        <f aca="false">99</f>
        <v>99</v>
      </c>
      <c r="I47" s="20" t="n">
        <v>0</v>
      </c>
      <c r="J47" s="20" t="n">
        <v>0</v>
      </c>
      <c r="K47" s="21" t="n">
        <f aca="false">H47</f>
        <v>99</v>
      </c>
      <c r="L47" s="7" t="s">
        <v>246</v>
      </c>
      <c r="M47" s="8" t="n">
        <f aca="false">F47+12*H47+I47</f>
        <v>1188</v>
      </c>
      <c r="N47" s="8" t="n">
        <f aca="false">G47+12*H47+I47</f>
        <v>1188</v>
      </c>
      <c r="O47" s="8" t="n">
        <f aca="false">M47+12*H47+J47</f>
        <v>2376</v>
      </c>
      <c r="P47" s="8" t="n">
        <f aca="false">N47+12*H47+J47</f>
        <v>2376</v>
      </c>
      <c r="Q47" s="8" t="n">
        <f aca="false">O47+12*K47+J47</f>
        <v>3564</v>
      </c>
      <c r="R47" s="8" t="n">
        <f aca="false">P47+12*K47+J47</f>
        <v>3564</v>
      </c>
      <c r="S47" s="8" t="n">
        <f aca="false">(M47+N47)/2</f>
        <v>1188</v>
      </c>
      <c r="T47" s="8" t="n">
        <f aca="false">(O47+P47)/2</f>
        <v>2376</v>
      </c>
      <c r="U47" s="8" t="n">
        <f aca="false">(Q47+R47)/2</f>
        <v>3564</v>
      </c>
      <c r="V47" s="7" t="s">
        <v>278</v>
      </c>
      <c r="W47" s="22" t="s">
        <v>279</v>
      </c>
      <c r="X47" s="7" t="s">
        <v>193</v>
      </c>
      <c r="Y47" s="7" t="s">
        <v>108</v>
      </c>
      <c r="Z47" s="7" t="s">
        <v>232</v>
      </c>
    </row>
    <row r="48" customFormat="false" ht="15" hidden="false" customHeight="false" outlineLevel="0" collapsed="false">
      <c r="A48" s="7" t="n">
        <v>47</v>
      </c>
      <c r="B48" s="7" t="s">
        <v>34</v>
      </c>
      <c r="C48" s="7" t="s">
        <v>30</v>
      </c>
      <c r="D48" s="7" t="s">
        <v>280</v>
      </c>
      <c r="E48" s="7" t="s">
        <v>238</v>
      </c>
      <c r="F48" s="20" t="n">
        <v>0</v>
      </c>
      <c r="G48" s="20" t="n">
        <v>399</v>
      </c>
      <c r="H48" s="21" t="n">
        <f aca="false">99</f>
        <v>99</v>
      </c>
      <c r="I48" s="20" t="n">
        <v>0</v>
      </c>
      <c r="J48" s="20" t="n">
        <v>0</v>
      </c>
      <c r="K48" s="21" t="n">
        <f aca="false">H48</f>
        <v>99</v>
      </c>
      <c r="L48" s="7" t="s">
        <v>246</v>
      </c>
      <c r="M48" s="8" t="n">
        <f aca="false">F48+12*H48+I48</f>
        <v>1188</v>
      </c>
      <c r="N48" s="8" t="n">
        <f aca="false">G48+12*H48+I48</f>
        <v>1587</v>
      </c>
      <c r="O48" s="8" t="n">
        <f aca="false">M48+12*H48+J48</f>
        <v>2376</v>
      </c>
      <c r="P48" s="8" t="n">
        <f aca="false">N48+12*H48+J48</f>
        <v>2775</v>
      </c>
      <c r="Q48" s="8" t="n">
        <f aca="false">O48+12*K48+J48</f>
        <v>3564</v>
      </c>
      <c r="R48" s="8" t="n">
        <f aca="false">P48+12*K48+J48</f>
        <v>3963</v>
      </c>
      <c r="S48" s="8" t="n">
        <f aca="false">(M48+N48)/2</f>
        <v>1387.5</v>
      </c>
      <c r="T48" s="8" t="n">
        <f aca="false">(O48+P48)/2</f>
        <v>2575.5</v>
      </c>
      <c r="U48" s="8" t="n">
        <f aca="false">(Q48+R48)/2</f>
        <v>3763.5</v>
      </c>
      <c r="V48" s="7" t="s">
        <v>281</v>
      </c>
      <c r="W48" s="22" t="s">
        <v>282</v>
      </c>
      <c r="X48" s="7" t="s">
        <v>193</v>
      </c>
      <c r="Y48" s="7" t="s">
        <v>108</v>
      </c>
      <c r="Z48" s="7" t="s">
        <v>232</v>
      </c>
    </row>
    <row r="49" customFormat="false" ht="15" hidden="false" customHeight="false" outlineLevel="0" collapsed="false">
      <c r="A49" s="7" t="n">
        <v>48</v>
      </c>
      <c r="B49" s="7" t="s">
        <v>34</v>
      </c>
      <c r="C49" s="7" t="s">
        <v>30</v>
      </c>
      <c r="D49" s="7" t="s">
        <v>283</v>
      </c>
      <c r="E49" s="7" t="s">
        <v>284</v>
      </c>
      <c r="F49" s="20" t="n">
        <v>0</v>
      </c>
      <c r="G49" s="20" t="n">
        <v>0</v>
      </c>
      <c r="H49" s="21" t="n">
        <f aca="false">99.9</f>
        <v>99.9</v>
      </c>
      <c r="I49" s="20" t="n">
        <v>0</v>
      </c>
      <c r="J49" s="20" t="n">
        <v>0</v>
      </c>
      <c r="K49" s="21" t="n">
        <f aca="false">29.9</f>
        <v>29.9</v>
      </c>
      <c r="L49" s="7" t="s">
        <v>261</v>
      </c>
      <c r="M49" s="8" t="n">
        <f aca="false">F49+12*H49+I49</f>
        <v>1198.8</v>
      </c>
      <c r="N49" s="8" t="n">
        <f aca="false">G49+12*H49+I49</f>
        <v>1198.8</v>
      </c>
      <c r="O49" s="8" t="n">
        <f aca="false">M49+12*H49+J49</f>
        <v>2397.6</v>
      </c>
      <c r="P49" s="8" t="n">
        <f aca="false">N49+12*H49+J49</f>
        <v>2397.6</v>
      </c>
      <c r="Q49" s="8" t="n">
        <f aca="false">O49+12*K49+J49</f>
        <v>2756.4</v>
      </c>
      <c r="R49" s="8" t="n">
        <f aca="false">P49+12*K49+J49</f>
        <v>2756.4</v>
      </c>
      <c r="S49" s="8" t="n">
        <f aca="false">(M49+N49)/2</f>
        <v>1198.8</v>
      </c>
      <c r="T49" s="8" t="n">
        <f aca="false">(O49+P49)/2</f>
        <v>2397.6</v>
      </c>
      <c r="U49" s="8" t="n">
        <f aca="false">(Q49+R49)/2</f>
        <v>2756.4</v>
      </c>
      <c r="V49" s="7" t="s">
        <v>285</v>
      </c>
      <c r="W49" s="22" t="s">
        <v>286</v>
      </c>
      <c r="X49" s="7" t="s">
        <v>193</v>
      </c>
      <c r="Y49" s="7" t="s">
        <v>108</v>
      </c>
      <c r="Z49" s="7" t="s">
        <v>232</v>
      </c>
    </row>
    <row r="50" customFormat="false" ht="15" hidden="false" customHeight="false" outlineLevel="0" collapsed="false">
      <c r="A50" s="7" t="n">
        <v>49</v>
      </c>
      <c r="B50" s="7" t="s">
        <v>35</v>
      </c>
      <c r="C50" s="7" t="s">
        <v>30</v>
      </c>
      <c r="D50" s="7" t="s">
        <v>287</v>
      </c>
      <c r="E50" s="7" t="s">
        <v>195</v>
      </c>
      <c r="F50" s="20" t="n">
        <v>1500</v>
      </c>
      <c r="G50" s="20" t="n">
        <v>3000</v>
      </c>
      <c r="H50" s="20" t="n">
        <v>0</v>
      </c>
      <c r="I50" s="23" t="n">
        <f aca="false">Hypothèses!$B$13</f>
        <v>41.423588376433</v>
      </c>
      <c r="J50" s="23" t="n">
        <f aca="false">Hypothèses!$B$13</f>
        <v>41.423588376433</v>
      </c>
      <c r="K50" s="21" t="n">
        <f aca="false">H50</f>
        <v>0</v>
      </c>
      <c r="L50" s="7" t="s">
        <v>106</v>
      </c>
      <c r="M50" s="8" t="n">
        <f aca="false">F50+12*H50+I50</f>
        <v>1541.42358837643</v>
      </c>
      <c r="N50" s="8" t="n">
        <f aca="false">G50+12*H50+I50</f>
        <v>3041.42358837643</v>
      </c>
      <c r="O50" s="8" t="n">
        <f aca="false">M50+12*H50+J50</f>
        <v>1582.84717675287</v>
      </c>
      <c r="P50" s="8" t="n">
        <f aca="false">N50+12*H50+J50</f>
        <v>3082.84717675287</v>
      </c>
      <c r="Q50" s="8" t="n">
        <f aca="false">O50+12*K50+J50</f>
        <v>1624.2707651293</v>
      </c>
      <c r="R50" s="8" t="n">
        <f aca="false">P50+12*K50+J50</f>
        <v>3124.2707651293</v>
      </c>
      <c r="S50" s="8" t="n">
        <f aca="false">(M50+N50)/2</f>
        <v>2291.42358837643</v>
      </c>
      <c r="T50" s="8" t="n">
        <f aca="false">(O50+P50)/2</f>
        <v>2332.84717675287</v>
      </c>
      <c r="U50" s="8" t="n">
        <f aca="false">(Q50+R50)/2</f>
        <v>2374.2707651293</v>
      </c>
      <c r="V50" s="7"/>
      <c r="W50" s="22" t="s">
        <v>288</v>
      </c>
      <c r="X50" s="7" t="s">
        <v>193</v>
      </c>
      <c r="Y50" s="7" t="s">
        <v>108</v>
      </c>
      <c r="Z50" s="7" t="s">
        <v>164</v>
      </c>
    </row>
    <row r="51" customFormat="false" ht="15" hidden="false" customHeight="false" outlineLevel="0" collapsed="false">
      <c r="A51" s="7" t="n">
        <v>50</v>
      </c>
      <c r="B51" s="7" t="s">
        <v>35</v>
      </c>
      <c r="C51" s="7" t="s">
        <v>30</v>
      </c>
      <c r="D51" s="7" t="s">
        <v>289</v>
      </c>
      <c r="E51" s="7" t="s">
        <v>195</v>
      </c>
      <c r="F51" s="20" t="n">
        <v>2490</v>
      </c>
      <c r="G51" s="20" t="n">
        <v>2490</v>
      </c>
      <c r="H51" s="20" t="n">
        <v>0</v>
      </c>
      <c r="I51" s="23" t="n">
        <f aca="false">Hypothèses!$B$13</f>
        <v>41.423588376433</v>
      </c>
      <c r="J51" s="23" t="n">
        <f aca="false">Hypothèses!$B$13</f>
        <v>41.423588376433</v>
      </c>
      <c r="K51" s="21" t="n">
        <f aca="false">H51</f>
        <v>0</v>
      </c>
      <c r="L51" s="7" t="s">
        <v>106</v>
      </c>
      <c r="M51" s="8" t="n">
        <f aca="false">F51+12*H51+I51</f>
        <v>2531.42358837643</v>
      </c>
      <c r="N51" s="8" t="n">
        <f aca="false">G51+12*H51+I51</f>
        <v>2531.42358837643</v>
      </c>
      <c r="O51" s="8" t="n">
        <f aca="false">M51+12*H51+J51</f>
        <v>2572.84717675287</v>
      </c>
      <c r="P51" s="8" t="n">
        <f aca="false">N51+12*H51+J51</f>
        <v>2572.84717675287</v>
      </c>
      <c r="Q51" s="8" t="n">
        <f aca="false">O51+12*K51+J51</f>
        <v>2614.2707651293</v>
      </c>
      <c r="R51" s="8" t="n">
        <f aca="false">P51+12*K51+J51</f>
        <v>2614.2707651293</v>
      </c>
      <c r="S51" s="8" t="n">
        <f aca="false">(M51+N51)/2</f>
        <v>2531.42358837643</v>
      </c>
      <c r="T51" s="8" t="n">
        <f aca="false">(O51+P51)/2</f>
        <v>2572.84717675287</v>
      </c>
      <c r="U51" s="8" t="n">
        <f aca="false">(Q51+R51)/2</f>
        <v>2614.2707651293</v>
      </c>
      <c r="V51" s="7"/>
      <c r="W51" s="22" t="s">
        <v>290</v>
      </c>
      <c r="X51" s="7" t="s">
        <v>193</v>
      </c>
      <c r="Y51" s="7" t="s">
        <v>108</v>
      </c>
      <c r="Z51" s="7" t="s">
        <v>109</v>
      </c>
    </row>
    <row r="52" customFormat="false" ht="15" hidden="false" customHeight="false" outlineLevel="0" collapsed="false">
      <c r="A52" s="7" t="n">
        <v>51</v>
      </c>
      <c r="B52" s="7" t="s">
        <v>35</v>
      </c>
      <c r="C52" s="7" t="s">
        <v>30</v>
      </c>
      <c r="D52" s="7" t="s">
        <v>291</v>
      </c>
      <c r="E52" s="7" t="s">
        <v>292</v>
      </c>
      <c r="F52" s="20" t="n">
        <v>1500</v>
      </c>
      <c r="G52" s="20" t="n">
        <v>1500</v>
      </c>
      <c r="H52" s="20" t="n">
        <v>0</v>
      </c>
      <c r="I52" s="20" t="n">
        <v>0</v>
      </c>
      <c r="J52" s="23" t="n">
        <f aca="false">Hypothèses!$B$13</f>
        <v>41.423588376433</v>
      </c>
      <c r="K52" s="21" t="n">
        <f aca="false">H52</f>
        <v>0</v>
      </c>
      <c r="L52" s="7" t="s">
        <v>106</v>
      </c>
      <c r="M52" s="8" t="n">
        <f aca="false">F52+12*H52+I52</f>
        <v>1500</v>
      </c>
      <c r="N52" s="8" t="n">
        <f aca="false">G52+12*H52+I52</f>
        <v>1500</v>
      </c>
      <c r="O52" s="8" t="n">
        <f aca="false">M52+12*H52+J52</f>
        <v>1541.42358837643</v>
      </c>
      <c r="P52" s="8" t="n">
        <f aca="false">N52+12*H52+J52</f>
        <v>1541.42358837643</v>
      </c>
      <c r="Q52" s="8" t="n">
        <f aca="false">O52+12*K52+J52</f>
        <v>1582.84717675287</v>
      </c>
      <c r="R52" s="8" t="n">
        <f aca="false">P52+12*K52+J52</f>
        <v>1582.84717675287</v>
      </c>
      <c r="S52" s="8" t="n">
        <f aca="false">(M52+N52)/2</f>
        <v>1500</v>
      </c>
      <c r="T52" s="8" t="n">
        <f aca="false">(O52+P52)/2</f>
        <v>1541.42358837643</v>
      </c>
      <c r="U52" s="8" t="n">
        <f aca="false">(Q52+R52)/2</f>
        <v>1582.84717675287</v>
      </c>
      <c r="V52" s="7" t="s">
        <v>293</v>
      </c>
      <c r="W52" s="22" t="s">
        <v>176</v>
      </c>
      <c r="X52" s="7" t="s">
        <v>177</v>
      </c>
      <c r="Y52" s="7" t="s">
        <v>108</v>
      </c>
      <c r="Z52" s="7" t="s">
        <v>164</v>
      </c>
    </row>
    <row r="53" customFormat="false" ht="15" hidden="false" customHeight="false" outlineLevel="0" collapsed="false">
      <c r="A53" s="7" t="n">
        <v>52</v>
      </c>
      <c r="B53" s="7" t="s">
        <v>35</v>
      </c>
      <c r="C53" s="7" t="s">
        <v>30</v>
      </c>
      <c r="D53" s="7" t="s">
        <v>294</v>
      </c>
      <c r="E53" s="7" t="s">
        <v>295</v>
      </c>
      <c r="F53" s="20" t="n">
        <v>1500</v>
      </c>
      <c r="G53" s="20" t="n">
        <v>3000</v>
      </c>
      <c r="H53" s="20" t="n">
        <v>0</v>
      </c>
      <c r="I53" s="23" t="n">
        <f aca="false">Hypothèses!$B$13</f>
        <v>41.423588376433</v>
      </c>
      <c r="J53" s="23" t="n">
        <f aca="false">Hypothèses!$B$13</f>
        <v>41.423588376433</v>
      </c>
      <c r="K53" s="21" t="n">
        <f aca="false">H53</f>
        <v>0</v>
      </c>
      <c r="L53" s="7" t="s">
        <v>106</v>
      </c>
      <c r="M53" s="8" t="n">
        <f aca="false">F53+12*H53+I53</f>
        <v>1541.42358837643</v>
      </c>
      <c r="N53" s="8" t="n">
        <f aca="false">G53+12*H53+I53</f>
        <v>3041.42358837643</v>
      </c>
      <c r="O53" s="8" t="n">
        <f aca="false">M53+12*H53+J53</f>
        <v>1582.84717675287</v>
      </c>
      <c r="P53" s="8" t="n">
        <f aca="false">N53+12*H53+J53</f>
        <v>3082.84717675287</v>
      </c>
      <c r="Q53" s="8" t="n">
        <f aca="false">O53+12*K53+J53</f>
        <v>1624.2707651293</v>
      </c>
      <c r="R53" s="8" t="n">
        <f aca="false">P53+12*K53+J53</f>
        <v>3124.2707651293</v>
      </c>
      <c r="S53" s="8" t="n">
        <f aca="false">(M53+N53)/2</f>
        <v>2291.42358837643</v>
      </c>
      <c r="T53" s="8" t="n">
        <f aca="false">(O53+P53)/2</f>
        <v>2332.84717675287</v>
      </c>
      <c r="U53" s="8" t="n">
        <f aca="false">(Q53+R53)/2</f>
        <v>2374.2707651293</v>
      </c>
      <c r="V53" s="7" t="s">
        <v>296</v>
      </c>
      <c r="W53" s="22" t="s">
        <v>196</v>
      </c>
      <c r="X53" s="7" t="s">
        <v>184</v>
      </c>
      <c r="Y53" s="7" t="s">
        <v>108</v>
      </c>
      <c r="Z53" s="7" t="s">
        <v>164</v>
      </c>
    </row>
    <row r="54" customFormat="false" ht="15" hidden="false" customHeight="false" outlineLevel="0" collapsed="false">
      <c r="A54" s="7" t="n">
        <v>53</v>
      </c>
      <c r="B54" s="7" t="s">
        <v>35</v>
      </c>
      <c r="C54" s="7" t="s">
        <v>30</v>
      </c>
      <c r="D54" s="7" t="s">
        <v>219</v>
      </c>
      <c r="E54" s="7" t="s">
        <v>297</v>
      </c>
      <c r="F54" s="20" t="n">
        <v>1500</v>
      </c>
      <c r="G54" s="20" t="n">
        <v>1500</v>
      </c>
      <c r="H54" s="20" t="n">
        <v>0</v>
      </c>
      <c r="I54" s="23" t="n">
        <f aca="false">Hypothèses!$B$13</f>
        <v>41.423588376433</v>
      </c>
      <c r="J54" s="23" t="n">
        <f aca="false">Hypothèses!$B$13</f>
        <v>41.423588376433</v>
      </c>
      <c r="K54" s="21" t="n">
        <f aca="false">H54</f>
        <v>0</v>
      </c>
      <c r="L54" s="7" t="s">
        <v>106</v>
      </c>
      <c r="M54" s="8" t="n">
        <f aca="false">F54+12*H54+I54</f>
        <v>1541.42358837643</v>
      </c>
      <c r="N54" s="8" t="n">
        <f aca="false">G54+12*H54+I54</f>
        <v>1541.42358837643</v>
      </c>
      <c r="O54" s="8" t="n">
        <f aca="false">M54+12*H54+J54</f>
        <v>1582.84717675287</v>
      </c>
      <c r="P54" s="8" t="n">
        <f aca="false">N54+12*H54+J54</f>
        <v>1582.84717675287</v>
      </c>
      <c r="Q54" s="8" t="n">
        <f aca="false">O54+12*K54+J54</f>
        <v>1624.2707651293</v>
      </c>
      <c r="R54" s="8" t="n">
        <f aca="false">P54+12*K54+J54</f>
        <v>1624.2707651293</v>
      </c>
      <c r="S54" s="8" t="n">
        <f aca="false">(M54+N54)/2</f>
        <v>1541.42358837643</v>
      </c>
      <c r="T54" s="8" t="n">
        <f aca="false">(O54+P54)/2</f>
        <v>1582.84717675287</v>
      </c>
      <c r="U54" s="8" t="n">
        <f aca="false">(Q54+R54)/2</f>
        <v>1624.2707651293</v>
      </c>
      <c r="V54" s="7" t="s">
        <v>298</v>
      </c>
      <c r="W54" s="22" t="s">
        <v>171</v>
      </c>
      <c r="X54" s="7" t="s">
        <v>184</v>
      </c>
      <c r="Y54" s="7" t="s">
        <v>108</v>
      </c>
      <c r="Z54" s="7" t="s">
        <v>109</v>
      </c>
    </row>
    <row r="55" customFormat="false" ht="15" hidden="false" customHeight="false" outlineLevel="0" collapsed="false">
      <c r="A55" s="15" t="n">
        <v>54</v>
      </c>
      <c r="B55" s="15" t="s">
        <v>31</v>
      </c>
      <c r="C55" s="15" t="s">
        <v>36</v>
      </c>
      <c r="D55" s="15" t="s">
        <v>31</v>
      </c>
      <c r="E55" s="15" t="s">
        <v>299</v>
      </c>
      <c r="F55" s="16" t="n">
        <v>1790</v>
      </c>
      <c r="G55" s="16" t="n">
        <v>1790</v>
      </c>
      <c r="H55" s="16" t="n">
        <v>0</v>
      </c>
      <c r="I55" s="17" t="n">
        <f aca="false">Hypothèses!$B$8+Hypothèses!$B$12</f>
        <v>296.475574513463</v>
      </c>
      <c r="J55" s="17" t="n">
        <f aca="false">Hypothèses!$B$8+Hypothèses!$B$10+Hypothèses!$B$12</f>
        <v>308.019162889896</v>
      </c>
      <c r="K55" s="18" t="n">
        <f aca="false">H55</f>
        <v>0</v>
      </c>
      <c r="L55" s="15" t="s">
        <v>104</v>
      </c>
      <c r="M55" s="19" t="n">
        <f aca="false">F55+12*H55+I55</f>
        <v>2086.47557451346</v>
      </c>
      <c r="N55" s="19" t="n">
        <f aca="false">G55+12*H55+I55</f>
        <v>2086.47557451346</v>
      </c>
      <c r="O55" s="19" t="n">
        <f aca="false">M55+12*H55+J55</f>
        <v>2394.49473740336</v>
      </c>
      <c r="P55" s="19" t="n">
        <f aca="false">N55+12*H55+J55</f>
        <v>2394.49473740336</v>
      </c>
      <c r="Q55" s="19" t="n">
        <f aca="false">O55+12*K55+J55</f>
        <v>2702.51390029326</v>
      </c>
      <c r="R55" s="19" t="n">
        <f aca="false">P55+12*K55+J55</f>
        <v>2702.51390029326</v>
      </c>
      <c r="S55" s="19" t="n">
        <f aca="false">(M55+N55)/2</f>
        <v>2086.47557451346</v>
      </c>
      <c r="T55" s="19" t="n">
        <f aca="false">(O55+P55)/2</f>
        <v>2394.49473740336</v>
      </c>
      <c r="U55" s="19" t="n">
        <f aca="false">(Q55+R55)/2</f>
        <v>2702.51390029326</v>
      </c>
      <c r="V55" s="15" t="s">
        <v>300</v>
      </c>
      <c r="W55" s="15" t="s">
        <v>106</v>
      </c>
      <c r="X55" s="15" t="s">
        <v>107</v>
      </c>
      <c r="Y55" s="15" t="s">
        <v>108</v>
      </c>
      <c r="Z55" s="15" t="s">
        <v>109</v>
      </c>
    </row>
    <row r="56" customFormat="false" ht="15" hidden="false" customHeight="false" outlineLevel="0" collapsed="false">
      <c r="A56" s="7" t="n">
        <v>55</v>
      </c>
      <c r="B56" s="7" t="s">
        <v>32</v>
      </c>
      <c r="C56" s="7" t="s">
        <v>36</v>
      </c>
      <c r="D56" s="7" t="s">
        <v>110</v>
      </c>
      <c r="E56" s="7" t="s">
        <v>30</v>
      </c>
      <c r="F56" s="20" t="n">
        <v>0</v>
      </c>
      <c r="G56" s="20" t="n">
        <v>0</v>
      </c>
      <c r="H56" s="21" t="n">
        <f aca="false">30/1.2</f>
        <v>25</v>
      </c>
      <c r="I56" s="20" t="n">
        <v>0</v>
      </c>
      <c r="J56" s="21" t="n">
        <f aca="false">14.95/1.2</f>
        <v>12.4583333333333</v>
      </c>
      <c r="K56" s="21" t="n">
        <f aca="false">H56</f>
        <v>25</v>
      </c>
      <c r="L56" s="7" t="s">
        <v>112</v>
      </c>
      <c r="M56" s="8" t="n">
        <f aca="false">F56+12*H56+I56</f>
        <v>300</v>
      </c>
      <c r="N56" s="8" t="n">
        <f aca="false">G56+12*H56+I56</f>
        <v>300</v>
      </c>
      <c r="O56" s="8" t="n">
        <f aca="false">M56+12*H56+J56</f>
        <v>612.458333333333</v>
      </c>
      <c r="P56" s="8" t="n">
        <f aca="false">N56+12*H56+J56</f>
        <v>612.458333333333</v>
      </c>
      <c r="Q56" s="8" t="n">
        <f aca="false">O56+12*K56+J56</f>
        <v>924.916666666667</v>
      </c>
      <c r="R56" s="8" t="n">
        <f aca="false">P56+12*K56+J56</f>
        <v>924.916666666667</v>
      </c>
      <c r="S56" s="8" t="n">
        <f aca="false">(M56+N56)/2</f>
        <v>300</v>
      </c>
      <c r="T56" s="8" t="n">
        <f aca="false">(O56+P56)/2</f>
        <v>612.458333333333</v>
      </c>
      <c r="U56" s="8" t="n">
        <f aca="false">(Q56+R56)/2</f>
        <v>924.916666666667</v>
      </c>
      <c r="V56" s="7" t="s">
        <v>113</v>
      </c>
      <c r="W56" s="22" t="s">
        <v>114</v>
      </c>
      <c r="X56" s="7" t="s">
        <v>115</v>
      </c>
      <c r="Y56" s="7" t="s">
        <v>108</v>
      </c>
      <c r="Z56" s="7" t="s">
        <v>116</v>
      </c>
    </row>
    <row r="57" customFormat="false" ht="15" hidden="false" customHeight="false" outlineLevel="0" collapsed="false">
      <c r="A57" s="7" t="n">
        <v>56</v>
      </c>
      <c r="B57" s="7" t="s">
        <v>32</v>
      </c>
      <c r="C57" s="7" t="s">
        <v>36</v>
      </c>
      <c r="D57" s="7" t="s">
        <v>117</v>
      </c>
      <c r="E57" s="7" t="s">
        <v>301</v>
      </c>
      <c r="F57" s="20" t="n">
        <v>0</v>
      </c>
      <c r="G57" s="20" t="n">
        <v>0</v>
      </c>
      <c r="H57" s="21" t="n">
        <f aca="false">17</f>
        <v>17</v>
      </c>
      <c r="I57" s="20" t="n">
        <v>0</v>
      </c>
      <c r="J57" s="23" t="n">
        <f aca="false">Hypothèses!$B$10</f>
        <v>11.543588376433</v>
      </c>
      <c r="K57" s="21" t="n">
        <f aca="false">H57</f>
        <v>17</v>
      </c>
      <c r="L57" s="7" t="s">
        <v>112</v>
      </c>
      <c r="M57" s="8" t="n">
        <f aca="false">F57+12*H57+I57</f>
        <v>204</v>
      </c>
      <c r="N57" s="8" t="n">
        <f aca="false">G57+12*H57+I57</f>
        <v>204</v>
      </c>
      <c r="O57" s="8" t="n">
        <f aca="false">M57+12*H57+J57</f>
        <v>419.543588376433</v>
      </c>
      <c r="P57" s="8" t="n">
        <f aca="false">N57+12*H57+J57</f>
        <v>419.543588376433</v>
      </c>
      <c r="Q57" s="8" t="n">
        <f aca="false">O57+12*K57+J57</f>
        <v>635.087176752866</v>
      </c>
      <c r="R57" s="8" t="n">
        <f aca="false">P57+12*K57+J57</f>
        <v>635.087176752866</v>
      </c>
      <c r="S57" s="8" t="n">
        <f aca="false">(M57+N57)/2</f>
        <v>204</v>
      </c>
      <c r="T57" s="8" t="n">
        <f aca="false">(O57+P57)/2</f>
        <v>419.543588376433</v>
      </c>
      <c r="U57" s="8" t="n">
        <f aca="false">(Q57+R57)/2</f>
        <v>635.087176752866</v>
      </c>
      <c r="V57" s="7" t="s">
        <v>119</v>
      </c>
      <c r="W57" s="22" t="s">
        <v>120</v>
      </c>
      <c r="X57" s="7" t="s">
        <v>121</v>
      </c>
      <c r="Y57" s="7" t="s">
        <v>108</v>
      </c>
      <c r="Z57" s="7" t="s">
        <v>116</v>
      </c>
    </row>
    <row r="58" customFormat="false" ht="15" hidden="false" customHeight="false" outlineLevel="0" collapsed="false">
      <c r="A58" s="7" t="n">
        <v>57</v>
      </c>
      <c r="B58" s="7" t="s">
        <v>32</v>
      </c>
      <c r="C58" s="7" t="s">
        <v>36</v>
      </c>
      <c r="D58" s="7" t="s">
        <v>122</v>
      </c>
      <c r="E58" s="7" t="s">
        <v>302</v>
      </c>
      <c r="F58" s="20" t="n">
        <v>0</v>
      </c>
      <c r="G58" s="20" t="n">
        <v>0</v>
      </c>
      <c r="H58" s="21" t="n">
        <f aca="false">15</f>
        <v>15</v>
      </c>
      <c r="I58" s="20" t="n">
        <v>0</v>
      </c>
      <c r="J58" s="23" t="n">
        <f aca="false">Hypothèses!$B$10</f>
        <v>11.543588376433</v>
      </c>
      <c r="K58" s="21" t="n">
        <f aca="false">H58</f>
        <v>15</v>
      </c>
      <c r="L58" s="7" t="s">
        <v>112</v>
      </c>
      <c r="M58" s="8" t="n">
        <f aca="false">F58+12*H58+I58</f>
        <v>180</v>
      </c>
      <c r="N58" s="8" t="n">
        <f aca="false">G58+12*H58+I58</f>
        <v>180</v>
      </c>
      <c r="O58" s="8" t="n">
        <f aca="false">M58+12*H58+J58</f>
        <v>371.543588376433</v>
      </c>
      <c r="P58" s="8" t="n">
        <f aca="false">N58+12*H58+J58</f>
        <v>371.543588376433</v>
      </c>
      <c r="Q58" s="8" t="n">
        <f aca="false">O58+12*K58+J58</f>
        <v>563.087176752866</v>
      </c>
      <c r="R58" s="8" t="n">
        <f aca="false">P58+12*K58+J58</f>
        <v>563.087176752866</v>
      </c>
      <c r="S58" s="8" t="n">
        <f aca="false">(M58+N58)/2</f>
        <v>180</v>
      </c>
      <c r="T58" s="8" t="n">
        <f aca="false">(O58+P58)/2</f>
        <v>371.543588376433</v>
      </c>
      <c r="U58" s="8" t="n">
        <f aca="false">(Q58+R58)/2</f>
        <v>563.087176752866</v>
      </c>
      <c r="V58" s="7" t="s">
        <v>124</v>
      </c>
      <c r="W58" s="22" t="s">
        <v>120</v>
      </c>
      <c r="X58" s="7" t="s">
        <v>121</v>
      </c>
      <c r="Y58" s="7" t="s">
        <v>108</v>
      </c>
      <c r="Z58" s="7" t="s">
        <v>116</v>
      </c>
    </row>
    <row r="59" customFormat="false" ht="15" hidden="false" customHeight="false" outlineLevel="0" collapsed="false">
      <c r="A59" s="7" t="n">
        <v>58</v>
      </c>
      <c r="B59" s="7" t="s">
        <v>32</v>
      </c>
      <c r="C59" s="7" t="s">
        <v>36</v>
      </c>
      <c r="D59" s="7" t="s">
        <v>125</v>
      </c>
      <c r="E59" s="7" t="s">
        <v>36</v>
      </c>
      <c r="F59" s="20" t="n">
        <v>0</v>
      </c>
      <c r="G59" s="20" t="n">
        <v>0</v>
      </c>
      <c r="H59" s="21" t="n">
        <f aca="false">10</f>
        <v>10</v>
      </c>
      <c r="I59" s="20" t="n">
        <v>0</v>
      </c>
      <c r="J59" s="21" t="n">
        <f aca="false">20</f>
        <v>20</v>
      </c>
      <c r="K59" s="21" t="n">
        <f aca="false">H59</f>
        <v>10</v>
      </c>
      <c r="L59" s="7" t="s">
        <v>112</v>
      </c>
      <c r="M59" s="8" t="n">
        <f aca="false">F59+12*H59+I59</f>
        <v>120</v>
      </c>
      <c r="N59" s="8" t="n">
        <f aca="false">G59+12*H59+I59</f>
        <v>120</v>
      </c>
      <c r="O59" s="8" t="n">
        <f aca="false">M59+12*H59+J59</f>
        <v>260</v>
      </c>
      <c r="P59" s="8" t="n">
        <f aca="false">N59+12*H59+J59</f>
        <v>260</v>
      </c>
      <c r="Q59" s="8" t="n">
        <f aca="false">O59+12*K59+J59</f>
        <v>400</v>
      </c>
      <c r="R59" s="8" t="n">
        <f aca="false">P59+12*K59+J59</f>
        <v>400</v>
      </c>
      <c r="S59" s="8" t="n">
        <f aca="false">(M59+N59)/2</f>
        <v>120</v>
      </c>
      <c r="T59" s="8" t="n">
        <f aca="false">(O59+P59)/2</f>
        <v>260</v>
      </c>
      <c r="U59" s="8" t="n">
        <f aca="false">(Q59+R59)/2</f>
        <v>400</v>
      </c>
      <c r="V59" s="7" t="s">
        <v>127</v>
      </c>
      <c r="W59" s="22" t="s">
        <v>128</v>
      </c>
      <c r="X59" s="7" t="s">
        <v>129</v>
      </c>
      <c r="Y59" s="7" t="s">
        <v>108</v>
      </c>
      <c r="Z59" s="7" t="s">
        <v>116</v>
      </c>
    </row>
    <row r="60" customFormat="false" ht="15" hidden="false" customHeight="false" outlineLevel="0" collapsed="false">
      <c r="A60" s="7" t="n">
        <v>59</v>
      </c>
      <c r="B60" s="7" t="s">
        <v>32</v>
      </c>
      <c r="C60" s="7" t="s">
        <v>36</v>
      </c>
      <c r="D60" s="7" t="s">
        <v>130</v>
      </c>
      <c r="E60" s="7" t="s">
        <v>157</v>
      </c>
      <c r="F60" s="20" t="n">
        <v>0</v>
      </c>
      <c r="G60" s="20" t="n">
        <v>0</v>
      </c>
      <c r="H60" s="23" t="n">
        <f aca="false">8/Hypothèses!$B$4</f>
        <v>7.10921532035902</v>
      </c>
      <c r="I60" s="20" t="n">
        <v>0</v>
      </c>
      <c r="J60" s="23" t="n">
        <f aca="false">Hypothèses!$B$10</f>
        <v>11.543588376433</v>
      </c>
      <c r="K60" s="21" t="n">
        <f aca="false">H60</f>
        <v>7.10921532035902</v>
      </c>
      <c r="L60" s="7" t="s">
        <v>112</v>
      </c>
      <c r="M60" s="8" t="n">
        <f aca="false">F60+12*H60+I60</f>
        <v>85.3105838443082</v>
      </c>
      <c r="N60" s="8" t="n">
        <f aca="false">G60+12*H60+I60</f>
        <v>85.3105838443082</v>
      </c>
      <c r="O60" s="8" t="n">
        <f aca="false">M60+12*H60+J60</f>
        <v>182.164756065049</v>
      </c>
      <c r="P60" s="8" t="n">
        <f aca="false">N60+12*H60+J60</f>
        <v>182.164756065049</v>
      </c>
      <c r="Q60" s="8" t="n">
        <f aca="false">O60+12*K60+J60</f>
        <v>279.018928285791</v>
      </c>
      <c r="R60" s="8" t="n">
        <f aca="false">P60+12*K60+J60</f>
        <v>279.018928285791</v>
      </c>
      <c r="S60" s="8" t="n">
        <f aca="false">(M60+N60)/2</f>
        <v>85.3105838443082</v>
      </c>
      <c r="T60" s="8" t="n">
        <f aca="false">(O60+P60)/2</f>
        <v>182.164756065049</v>
      </c>
      <c r="U60" s="8" t="n">
        <f aca="false">(Q60+R60)/2</f>
        <v>279.018928285791</v>
      </c>
      <c r="V60" s="7" t="s">
        <v>132</v>
      </c>
      <c r="W60" s="22" t="s">
        <v>133</v>
      </c>
      <c r="X60" s="7" t="s">
        <v>134</v>
      </c>
      <c r="Y60" s="7" t="s">
        <v>108</v>
      </c>
      <c r="Z60" s="7" t="s">
        <v>116</v>
      </c>
    </row>
    <row r="61" customFormat="false" ht="15" hidden="false" customHeight="false" outlineLevel="0" collapsed="false">
      <c r="A61" s="7" t="n">
        <v>60</v>
      </c>
      <c r="B61" s="7" t="s">
        <v>32</v>
      </c>
      <c r="C61" s="7" t="s">
        <v>36</v>
      </c>
      <c r="D61" s="7" t="s">
        <v>135</v>
      </c>
      <c r="E61" s="7" t="s">
        <v>303</v>
      </c>
      <c r="F61" s="20" t="n">
        <v>0</v>
      </c>
      <c r="G61" s="20" t="n">
        <v>0</v>
      </c>
      <c r="H61" s="21" t="n">
        <f aca="false">9.59</f>
        <v>9.59</v>
      </c>
      <c r="I61" s="20" t="n">
        <v>0</v>
      </c>
      <c r="J61" s="23" t="n">
        <f aca="false">Hypothèses!$B$10</f>
        <v>11.543588376433</v>
      </c>
      <c r="K61" s="21" t="n">
        <f aca="false">H61</f>
        <v>9.59</v>
      </c>
      <c r="L61" s="7" t="s">
        <v>112</v>
      </c>
      <c r="M61" s="8" t="n">
        <f aca="false">F61+12*H61+I61</f>
        <v>115.08</v>
      </c>
      <c r="N61" s="8" t="n">
        <f aca="false">G61+12*H61+I61</f>
        <v>115.08</v>
      </c>
      <c r="O61" s="8" t="n">
        <f aca="false">M61+12*H61+J61</f>
        <v>241.703588376433</v>
      </c>
      <c r="P61" s="8" t="n">
        <f aca="false">N61+12*H61+J61</f>
        <v>241.703588376433</v>
      </c>
      <c r="Q61" s="8" t="n">
        <f aca="false">O61+12*K61+J61</f>
        <v>368.327176752866</v>
      </c>
      <c r="R61" s="8" t="n">
        <f aca="false">P61+12*K61+J61</f>
        <v>368.327176752866</v>
      </c>
      <c r="S61" s="8" t="n">
        <f aca="false">(M61+N61)/2</f>
        <v>115.08</v>
      </c>
      <c r="T61" s="8" t="n">
        <f aca="false">(O61+P61)/2</f>
        <v>241.703588376433</v>
      </c>
      <c r="U61" s="8" t="n">
        <f aca="false">(Q61+R61)/2</f>
        <v>368.327176752866</v>
      </c>
      <c r="V61" s="7" t="s">
        <v>137</v>
      </c>
      <c r="W61" s="22" t="s">
        <v>138</v>
      </c>
      <c r="X61" s="7" t="s">
        <v>139</v>
      </c>
      <c r="Y61" s="7" t="s">
        <v>108</v>
      </c>
      <c r="Z61" s="7" t="s">
        <v>116</v>
      </c>
    </row>
    <row r="62" customFormat="false" ht="15" hidden="false" customHeight="false" outlineLevel="0" collapsed="false">
      <c r="A62" s="7" t="n">
        <v>61</v>
      </c>
      <c r="B62" s="7" t="s">
        <v>32</v>
      </c>
      <c r="C62" s="7" t="s">
        <v>36</v>
      </c>
      <c r="D62" s="7" t="s">
        <v>140</v>
      </c>
      <c r="E62" s="7" t="s">
        <v>301</v>
      </c>
      <c r="F62" s="20" t="n">
        <v>0</v>
      </c>
      <c r="G62" s="20" t="n">
        <v>0</v>
      </c>
      <c r="H62" s="21" t="n">
        <f aca="false">12</f>
        <v>12</v>
      </c>
      <c r="I62" s="20" t="n">
        <v>0</v>
      </c>
      <c r="J62" s="23" t="n">
        <f aca="false">Hypothèses!$B$10</f>
        <v>11.543588376433</v>
      </c>
      <c r="K62" s="21" t="n">
        <f aca="false">H62</f>
        <v>12</v>
      </c>
      <c r="L62" s="7" t="s">
        <v>112</v>
      </c>
      <c r="M62" s="8" t="n">
        <f aca="false">F62+12*H62+I62</f>
        <v>144</v>
      </c>
      <c r="N62" s="8" t="n">
        <f aca="false">G62+12*H62+I62</f>
        <v>144</v>
      </c>
      <c r="O62" s="8" t="n">
        <f aca="false">M62+12*H62+J62</f>
        <v>299.543588376433</v>
      </c>
      <c r="P62" s="8" t="n">
        <f aca="false">N62+12*H62+J62</f>
        <v>299.543588376433</v>
      </c>
      <c r="Q62" s="8" t="n">
        <f aca="false">O62+12*K62+J62</f>
        <v>455.087176752866</v>
      </c>
      <c r="R62" s="8" t="n">
        <f aca="false">P62+12*K62+J62</f>
        <v>455.087176752866</v>
      </c>
      <c r="S62" s="8" t="n">
        <f aca="false">(M62+N62)/2</f>
        <v>144</v>
      </c>
      <c r="T62" s="8" t="n">
        <f aca="false">(O62+P62)/2</f>
        <v>299.543588376433</v>
      </c>
      <c r="U62" s="8" t="n">
        <f aca="false">(Q62+R62)/2</f>
        <v>455.087176752866</v>
      </c>
      <c r="V62" s="7" t="s">
        <v>137</v>
      </c>
      <c r="W62" s="22" t="s">
        <v>138</v>
      </c>
      <c r="X62" s="7" t="s">
        <v>139</v>
      </c>
      <c r="Y62" s="7" t="s">
        <v>108</v>
      </c>
      <c r="Z62" s="7" t="s">
        <v>116</v>
      </c>
    </row>
    <row r="63" customFormat="false" ht="15" hidden="false" customHeight="false" outlineLevel="0" collapsed="false">
      <c r="A63" s="7" t="n">
        <v>62</v>
      </c>
      <c r="B63" s="7" t="s">
        <v>32</v>
      </c>
      <c r="C63" s="7" t="s">
        <v>36</v>
      </c>
      <c r="D63" s="7" t="s">
        <v>141</v>
      </c>
      <c r="E63" s="7" t="s">
        <v>304</v>
      </c>
      <c r="F63" s="20" t="n">
        <v>0</v>
      </c>
      <c r="G63" s="20" t="n">
        <v>0</v>
      </c>
      <c r="H63" s="21" t="n">
        <f aca="false">12.5</f>
        <v>12.5</v>
      </c>
      <c r="I63" s="20" t="n">
        <v>0</v>
      </c>
      <c r="J63" s="23" t="n">
        <f aca="false">Hypothèses!$B$10</f>
        <v>11.543588376433</v>
      </c>
      <c r="K63" s="21" t="n">
        <f aca="false">H63</f>
        <v>12.5</v>
      </c>
      <c r="L63" s="7" t="s">
        <v>112</v>
      </c>
      <c r="M63" s="8" t="n">
        <f aca="false">F63+12*H63+I63</f>
        <v>150</v>
      </c>
      <c r="N63" s="8" t="n">
        <f aca="false">G63+12*H63+I63</f>
        <v>150</v>
      </c>
      <c r="O63" s="8" t="n">
        <f aca="false">M63+12*H63+J63</f>
        <v>311.543588376433</v>
      </c>
      <c r="P63" s="8" t="n">
        <f aca="false">N63+12*H63+J63</f>
        <v>311.543588376433</v>
      </c>
      <c r="Q63" s="8" t="n">
        <f aca="false">O63+12*K63+J63</f>
        <v>473.087176752866</v>
      </c>
      <c r="R63" s="8" t="n">
        <f aca="false">P63+12*K63+J63</f>
        <v>473.087176752866</v>
      </c>
      <c r="S63" s="8" t="n">
        <f aca="false">(M63+N63)/2</f>
        <v>150</v>
      </c>
      <c r="T63" s="8" t="n">
        <f aca="false">(O63+P63)/2</f>
        <v>311.543588376433</v>
      </c>
      <c r="U63" s="8" t="n">
        <f aca="false">(Q63+R63)/2</f>
        <v>473.087176752866</v>
      </c>
      <c r="V63" s="7" t="s">
        <v>137</v>
      </c>
      <c r="W63" s="22" t="s">
        <v>138</v>
      </c>
      <c r="X63" s="7" t="s">
        <v>139</v>
      </c>
      <c r="Y63" s="7" t="s">
        <v>108</v>
      </c>
      <c r="Z63" s="7" t="s">
        <v>116</v>
      </c>
    </row>
    <row r="64" customFormat="false" ht="15" hidden="false" customHeight="false" outlineLevel="0" collapsed="false">
      <c r="A64" s="7" t="n">
        <v>63</v>
      </c>
      <c r="B64" s="7" t="s">
        <v>32</v>
      </c>
      <c r="C64" s="7" t="s">
        <v>36</v>
      </c>
      <c r="D64" s="7" t="s">
        <v>142</v>
      </c>
      <c r="E64" s="7" t="s">
        <v>303</v>
      </c>
      <c r="F64" s="20" t="n">
        <v>0</v>
      </c>
      <c r="G64" s="20" t="n">
        <v>0</v>
      </c>
      <c r="H64" s="23" t="n">
        <f aca="false">16.9/Hypothèses!$B$4</f>
        <v>15.0182173642584</v>
      </c>
      <c r="I64" s="20" t="n">
        <v>0</v>
      </c>
      <c r="J64" s="23" t="n">
        <f aca="false">Hypothèses!$B$10</f>
        <v>11.543588376433</v>
      </c>
      <c r="K64" s="21" t="n">
        <f aca="false">H64</f>
        <v>15.0182173642584</v>
      </c>
      <c r="L64" s="7" t="s">
        <v>112</v>
      </c>
      <c r="M64" s="8" t="n">
        <f aca="false">F64+12*H64+I64</f>
        <v>180.218608371101</v>
      </c>
      <c r="N64" s="8" t="n">
        <f aca="false">G64+12*H64+I64</f>
        <v>180.218608371101</v>
      </c>
      <c r="O64" s="8" t="n">
        <f aca="false">M64+12*H64+J64</f>
        <v>371.980805118635</v>
      </c>
      <c r="P64" s="8" t="n">
        <f aca="false">N64+12*H64+J64</f>
        <v>371.980805118635</v>
      </c>
      <c r="Q64" s="8" t="n">
        <f aca="false">O64+12*K64+J64</f>
        <v>563.743001866169</v>
      </c>
      <c r="R64" s="8" t="n">
        <f aca="false">P64+12*K64+J64</f>
        <v>563.743001866169</v>
      </c>
      <c r="S64" s="8" t="n">
        <f aca="false">(M64+N64)/2</f>
        <v>180.218608371101</v>
      </c>
      <c r="T64" s="8" t="n">
        <f aca="false">(O64+P64)/2</f>
        <v>371.980805118635</v>
      </c>
      <c r="U64" s="8" t="n">
        <f aca="false">(Q64+R64)/2</f>
        <v>563.743001866169</v>
      </c>
      <c r="V64" s="7" t="s">
        <v>132</v>
      </c>
      <c r="W64" s="22" t="s">
        <v>138</v>
      </c>
      <c r="X64" s="7" t="s">
        <v>144</v>
      </c>
      <c r="Y64" s="7" t="s">
        <v>108</v>
      </c>
      <c r="Z64" s="7" t="s">
        <v>116</v>
      </c>
    </row>
    <row r="65" customFormat="false" ht="15" hidden="false" customHeight="false" outlineLevel="0" collapsed="false">
      <c r="A65" s="7" t="n">
        <v>64</v>
      </c>
      <c r="B65" s="7" t="s">
        <v>32</v>
      </c>
      <c r="C65" s="7" t="s">
        <v>36</v>
      </c>
      <c r="D65" s="7" t="s">
        <v>145</v>
      </c>
      <c r="E65" s="7" t="s">
        <v>305</v>
      </c>
      <c r="F65" s="20" t="n">
        <v>0</v>
      </c>
      <c r="G65" s="20" t="n">
        <v>0</v>
      </c>
      <c r="H65" s="23" t="n">
        <f aca="false">10/Hypothèses!$B$4</f>
        <v>8.88651915044877</v>
      </c>
      <c r="I65" s="20" t="n">
        <v>0</v>
      </c>
      <c r="J65" s="23" t="n">
        <f aca="false">Hypothèses!$B$10</f>
        <v>11.543588376433</v>
      </c>
      <c r="K65" s="21" t="n">
        <f aca="false">H65</f>
        <v>8.88651915044877</v>
      </c>
      <c r="L65" s="7" t="s">
        <v>112</v>
      </c>
      <c r="M65" s="8" t="n">
        <f aca="false">F65+12*H65+I65</f>
        <v>106.638229805385</v>
      </c>
      <c r="N65" s="8" t="n">
        <f aca="false">G65+12*H65+I65</f>
        <v>106.638229805385</v>
      </c>
      <c r="O65" s="8" t="n">
        <f aca="false">M65+12*H65+J65</f>
        <v>224.820047987203</v>
      </c>
      <c r="P65" s="8" t="n">
        <f aca="false">N65+12*H65+J65</f>
        <v>224.820047987203</v>
      </c>
      <c r="Q65" s="8" t="n">
        <f aca="false">O65+12*K65+J65</f>
        <v>343.001866169022</v>
      </c>
      <c r="R65" s="8" t="n">
        <f aca="false">P65+12*K65+J65</f>
        <v>343.001866169022</v>
      </c>
      <c r="S65" s="8" t="n">
        <f aca="false">(M65+N65)/2</f>
        <v>106.638229805385</v>
      </c>
      <c r="T65" s="8" t="n">
        <f aca="false">(O65+P65)/2</f>
        <v>224.820047987203</v>
      </c>
      <c r="U65" s="8" t="n">
        <f aca="false">(Q65+R65)/2</f>
        <v>343.001866169022</v>
      </c>
      <c r="V65" s="7" t="s">
        <v>132</v>
      </c>
      <c r="W65" s="22" t="s">
        <v>138</v>
      </c>
      <c r="X65" s="7" t="s">
        <v>144</v>
      </c>
      <c r="Y65" s="7" t="s">
        <v>108</v>
      </c>
      <c r="Z65" s="7" t="s">
        <v>116</v>
      </c>
    </row>
    <row r="66" customFormat="false" ht="15" hidden="false" customHeight="false" outlineLevel="0" collapsed="false">
      <c r="A66" s="7" t="n">
        <v>65</v>
      </c>
      <c r="B66" s="7" t="s">
        <v>32</v>
      </c>
      <c r="C66" s="7" t="s">
        <v>36</v>
      </c>
      <c r="D66" s="7" t="s">
        <v>147</v>
      </c>
      <c r="E66" s="7" t="s">
        <v>157</v>
      </c>
      <c r="F66" s="20" t="n">
        <v>0</v>
      </c>
      <c r="G66" s="20" t="n">
        <v>0</v>
      </c>
      <c r="H66" s="23" t="n">
        <f aca="false">18.99/Hypothèses!$B$4</f>
        <v>16.8754998667022</v>
      </c>
      <c r="I66" s="20" t="n">
        <v>0</v>
      </c>
      <c r="J66" s="23" t="n">
        <f aca="false">Hypothèses!$B$10</f>
        <v>11.543588376433</v>
      </c>
      <c r="K66" s="21" t="n">
        <f aca="false">H66</f>
        <v>16.8754998667022</v>
      </c>
      <c r="L66" s="7" t="s">
        <v>112</v>
      </c>
      <c r="M66" s="8" t="n">
        <f aca="false">F66+12*H66+I66</f>
        <v>202.505998400427</v>
      </c>
      <c r="N66" s="8" t="n">
        <f aca="false">G66+12*H66+I66</f>
        <v>202.505998400427</v>
      </c>
      <c r="O66" s="8" t="n">
        <f aca="false">M66+12*H66+J66</f>
        <v>416.555585177286</v>
      </c>
      <c r="P66" s="8" t="n">
        <f aca="false">N66+12*H66+J66</f>
        <v>416.555585177286</v>
      </c>
      <c r="Q66" s="8" t="n">
        <f aca="false">O66+12*K66+J66</f>
        <v>630.605171954146</v>
      </c>
      <c r="R66" s="8" t="n">
        <f aca="false">P66+12*K66+J66</f>
        <v>630.605171954146</v>
      </c>
      <c r="S66" s="8" t="n">
        <f aca="false">(M66+N66)/2</f>
        <v>202.505998400427</v>
      </c>
      <c r="T66" s="8" t="n">
        <f aca="false">(O66+P66)/2</f>
        <v>416.555585177286</v>
      </c>
      <c r="U66" s="8" t="n">
        <f aca="false">(Q66+R66)/2</f>
        <v>630.605171954146</v>
      </c>
      <c r="V66" s="7" t="s">
        <v>132</v>
      </c>
      <c r="W66" s="22" t="s">
        <v>138</v>
      </c>
      <c r="X66" s="7" t="s">
        <v>144</v>
      </c>
      <c r="Y66" s="7" t="s">
        <v>108</v>
      </c>
      <c r="Z66" s="7" t="s">
        <v>116</v>
      </c>
    </row>
    <row r="67" customFormat="false" ht="15" hidden="false" customHeight="false" outlineLevel="0" collapsed="false">
      <c r="A67" s="7" t="n">
        <v>66</v>
      </c>
      <c r="B67" s="7" t="s">
        <v>32</v>
      </c>
      <c r="C67" s="7" t="s">
        <v>36</v>
      </c>
      <c r="D67" s="7" t="s">
        <v>148</v>
      </c>
      <c r="E67" s="7" t="s">
        <v>36</v>
      </c>
      <c r="F67" s="20" t="n">
        <v>0</v>
      </c>
      <c r="G67" s="20" t="n">
        <v>0</v>
      </c>
      <c r="H67" s="23" t="n">
        <f aca="false">16/Hypothèses!$B$4</f>
        <v>14.218430640718</v>
      </c>
      <c r="I67" s="20" t="n">
        <v>0</v>
      </c>
      <c r="J67" s="23" t="n">
        <f aca="false">Hypothèses!$B$10</f>
        <v>11.543588376433</v>
      </c>
      <c r="K67" s="21" t="n">
        <f aca="false">H67</f>
        <v>14.218430640718</v>
      </c>
      <c r="L67" s="7" t="s">
        <v>112</v>
      </c>
      <c r="M67" s="8" t="n">
        <f aca="false">F67+12*H67+I67</f>
        <v>170.621167688616</v>
      </c>
      <c r="N67" s="8" t="n">
        <f aca="false">G67+12*H67+I67</f>
        <v>170.621167688616</v>
      </c>
      <c r="O67" s="8" t="n">
        <f aca="false">M67+12*H67+J67</f>
        <v>352.785923753666</v>
      </c>
      <c r="P67" s="8" t="n">
        <f aca="false">N67+12*H67+J67</f>
        <v>352.785923753666</v>
      </c>
      <c r="Q67" s="8" t="n">
        <f aca="false">O67+12*K67+J67</f>
        <v>534.950679818715</v>
      </c>
      <c r="R67" s="8" t="n">
        <f aca="false">P67+12*K67+J67</f>
        <v>534.950679818715</v>
      </c>
      <c r="S67" s="8" t="n">
        <f aca="false">(M67+N67)/2</f>
        <v>170.621167688616</v>
      </c>
      <c r="T67" s="8" t="n">
        <f aca="false">(O67+P67)/2</f>
        <v>352.785923753666</v>
      </c>
      <c r="U67" s="8" t="n">
        <f aca="false">(Q67+R67)/2</f>
        <v>534.950679818715</v>
      </c>
      <c r="V67" s="7" t="s">
        <v>132</v>
      </c>
      <c r="W67" s="22" t="s">
        <v>138</v>
      </c>
      <c r="X67" s="7" t="s">
        <v>144</v>
      </c>
      <c r="Y67" s="7" t="s">
        <v>108</v>
      </c>
      <c r="Z67" s="7" t="s">
        <v>116</v>
      </c>
    </row>
    <row r="68" customFormat="false" ht="15" hidden="false" customHeight="false" outlineLevel="0" collapsed="false">
      <c r="A68" s="7" t="n">
        <v>67</v>
      </c>
      <c r="B68" s="7" t="s">
        <v>32</v>
      </c>
      <c r="C68" s="7" t="s">
        <v>36</v>
      </c>
      <c r="D68" s="7" t="s">
        <v>150</v>
      </c>
      <c r="E68" s="7" t="s">
        <v>36</v>
      </c>
      <c r="F68" s="20" t="n">
        <v>0</v>
      </c>
      <c r="G68" s="20" t="n">
        <v>0</v>
      </c>
      <c r="H68" s="23" t="n">
        <f aca="false">12/Hypothèses!$B$4</f>
        <v>10.6638229805385</v>
      </c>
      <c r="I68" s="20" t="n">
        <v>0</v>
      </c>
      <c r="J68" s="23" t="n">
        <f aca="false">Hypothèses!$B$10</f>
        <v>11.543588376433</v>
      </c>
      <c r="K68" s="21" t="n">
        <f aca="false">H68</f>
        <v>10.6638229805385</v>
      </c>
      <c r="L68" s="7" t="s">
        <v>112</v>
      </c>
      <c r="M68" s="8" t="n">
        <f aca="false">F68+12*H68+I68</f>
        <v>127.965875766462</v>
      </c>
      <c r="N68" s="8" t="n">
        <f aca="false">G68+12*H68+I68</f>
        <v>127.965875766462</v>
      </c>
      <c r="O68" s="8" t="n">
        <f aca="false">M68+12*H68+J68</f>
        <v>267.475339909358</v>
      </c>
      <c r="P68" s="8" t="n">
        <f aca="false">N68+12*H68+J68</f>
        <v>267.475339909358</v>
      </c>
      <c r="Q68" s="8" t="n">
        <f aca="false">O68+12*K68+J68</f>
        <v>406.984804052253</v>
      </c>
      <c r="R68" s="8" t="n">
        <f aca="false">P68+12*K68+J68</f>
        <v>406.984804052253</v>
      </c>
      <c r="S68" s="8" t="n">
        <f aca="false">(M68+N68)/2</f>
        <v>127.965875766462</v>
      </c>
      <c r="T68" s="8" t="n">
        <f aca="false">(O68+P68)/2</f>
        <v>267.475339909358</v>
      </c>
      <c r="U68" s="8" t="n">
        <f aca="false">(Q68+R68)/2</f>
        <v>406.984804052253</v>
      </c>
      <c r="V68" s="7" t="s">
        <v>132</v>
      </c>
      <c r="W68" s="22" t="s">
        <v>138</v>
      </c>
      <c r="X68" s="7" t="s">
        <v>144</v>
      </c>
      <c r="Y68" s="7" t="s">
        <v>108</v>
      </c>
      <c r="Z68" s="7" t="s">
        <v>116</v>
      </c>
    </row>
    <row r="69" customFormat="false" ht="15" hidden="false" customHeight="false" outlineLevel="0" collapsed="false">
      <c r="A69" s="7" t="n">
        <v>68</v>
      </c>
      <c r="B69" s="7" t="s">
        <v>32</v>
      </c>
      <c r="C69" s="7" t="s">
        <v>36</v>
      </c>
      <c r="D69" s="7" t="s">
        <v>151</v>
      </c>
      <c r="E69" s="7" t="s">
        <v>152</v>
      </c>
      <c r="F69" s="20" t="n">
        <v>0</v>
      </c>
      <c r="G69" s="20" t="n">
        <v>0</v>
      </c>
      <c r="H69" s="21" t="n">
        <f aca="false">2.69</f>
        <v>2.69</v>
      </c>
      <c r="I69" s="20" t="n">
        <v>0</v>
      </c>
      <c r="J69" s="23" t="n">
        <f aca="false">Hypothèses!$B$10</f>
        <v>11.543588376433</v>
      </c>
      <c r="K69" s="21" t="n">
        <f aca="false">H69</f>
        <v>2.69</v>
      </c>
      <c r="L69" s="7" t="s">
        <v>112</v>
      </c>
      <c r="M69" s="8" t="n">
        <f aca="false">F69+12*H69+I69</f>
        <v>32.28</v>
      </c>
      <c r="N69" s="8" t="n">
        <f aca="false">G69+12*H69+I69</f>
        <v>32.28</v>
      </c>
      <c r="O69" s="8" t="n">
        <f aca="false">M69+12*H69+J69</f>
        <v>76.103588376433</v>
      </c>
      <c r="P69" s="8" t="n">
        <f aca="false">N69+12*H69+J69</f>
        <v>76.103588376433</v>
      </c>
      <c r="Q69" s="8" t="n">
        <f aca="false">O69+12*K69+J69</f>
        <v>119.927176752866</v>
      </c>
      <c r="R69" s="8" t="n">
        <f aca="false">P69+12*K69+J69</f>
        <v>119.927176752866</v>
      </c>
      <c r="S69" s="8" t="n">
        <f aca="false">(M69+N69)/2</f>
        <v>32.28</v>
      </c>
      <c r="T69" s="8" t="n">
        <f aca="false">(O69+P69)/2</f>
        <v>76.103588376433</v>
      </c>
      <c r="U69" s="8" t="n">
        <f aca="false">(Q69+R69)/2</f>
        <v>119.927176752866</v>
      </c>
      <c r="V69" s="7" t="s">
        <v>153</v>
      </c>
      <c r="W69" s="22" t="s">
        <v>154</v>
      </c>
      <c r="X69" s="7" t="s">
        <v>155</v>
      </c>
      <c r="Y69" s="7" t="s">
        <v>108</v>
      </c>
      <c r="Z69" s="7" t="s">
        <v>116</v>
      </c>
    </row>
    <row r="70" customFormat="false" ht="15" hidden="false" customHeight="false" outlineLevel="0" collapsed="false">
      <c r="A70" s="7" t="n">
        <v>69</v>
      </c>
      <c r="B70" s="7" t="s">
        <v>32</v>
      </c>
      <c r="C70" s="7" t="s">
        <v>36</v>
      </c>
      <c r="D70" s="7" t="s">
        <v>156</v>
      </c>
      <c r="E70" s="7" t="s">
        <v>157</v>
      </c>
      <c r="F70" s="20" t="n">
        <v>0</v>
      </c>
      <c r="G70" s="20" t="n">
        <v>0</v>
      </c>
      <c r="H70" s="23" t="n">
        <f aca="false">10.8/Hypothèses!$B$4</f>
        <v>9.59744068248467</v>
      </c>
      <c r="I70" s="20" t="n">
        <v>0</v>
      </c>
      <c r="J70" s="23" t="n">
        <f aca="false">Hypothèses!$B$10</f>
        <v>11.543588376433</v>
      </c>
      <c r="K70" s="21" t="n">
        <f aca="false">H70</f>
        <v>9.59744068248467</v>
      </c>
      <c r="L70" s="7" t="s">
        <v>112</v>
      </c>
      <c r="M70" s="8" t="n">
        <f aca="false">F70+12*H70+I70</f>
        <v>115.169288189816</v>
      </c>
      <c r="N70" s="8" t="n">
        <f aca="false">G70+12*H70+I70</f>
        <v>115.169288189816</v>
      </c>
      <c r="O70" s="8" t="n">
        <f aca="false">M70+12*H70+J70</f>
        <v>241.882164756065</v>
      </c>
      <c r="P70" s="8" t="n">
        <f aca="false">N70+12*H70+J70</f>
        <v>241.882164756065</v>
      </c>
      <c r="Q70" s="8" t="n">
        <f aca="false">O70+12*K70+J70</f>
        <v>368.595041322314</v>
      </c>
      <c r="R70" s="8" t="n">
        <f aca="false">P70+12*K70+J70</f>
        <v>368.595041322314</v>
      </c>
      <c r="S70" s="8" t="n">
        <f aca="false">(M70+N70)/2</f>
        <v>115.169288189816</v>
      </c>
      <c r="T70" s="8" t="n">
        <f aca="false">(O70+P70)/2</f>
        <v>241.882164756065</v>
      </c>
      <c r="U70" s="8" t="n">
        <f aca="false">(Q70+R70)/2</f>
        <v>368.595041322314</v>
      </c>
      <c r="V70" s="7" t="s">
        <v>132</v>
      </c>
      <c r="W70" s="22" t="s">
        <v>120</v>
      </c>
      <c r="X70" s="7" t="s">
        <v>158</v>
      </c>
      <c r="Y70" s="7" t="s">
        <v>108</v>
      </c>
      <c r="Z70" s="7" t="s">
        <v>116</v>
      </c>
    </row>
    <row r="71" customFormat="false" ht="15" hidden="false" customHeight="false" outlineLevel="0" collapsed="false">
      <c r="A71" s="7" t="n">
        <v>70</v>
      </c>
      <c r="B71" s="7" t="s">
        <v>32</v>
      </c>
      <c r="C71" s="7" t="s">
        <v>36</v>
      </c>
      <c r="D71" s="7" t="s">
        <v>159</v>
      </c>
      <c r="E71" s="7" t="s">
        <v>157</v>
      </c>
      <c r="F71" s="20" t="n">
        <v>0</v>
      </c>
      <c r="G71" s="20" t="n">
        <v>0</v>
      </c>
      <c r="H71" s="21" t="n">
        <f aca="false">13.99</f>
        <v>13.99</v>
      </c>
      <c r="I71" s="20" t="n">
        <v>0</v>
      </c>
      <c r="J71" s="23" t="n">
        <f aca="false">Hypothèses!$B$10</f>
        <v>11.543588376433</v>
      </c>
      <c r="K71" s="21" t="n">
        <f aca="false">H71</f>
        <v>13.99</v>
      </c>
      <c r="L71" s="7" t="s">
        <v>112</v>
      </c>
      <c r="M71" s="8" t="n">
        <f aca="false">F71+12*H71+I71</f>
        <v>167.88</v>
      </c>
      <c r="N71" s="8" t="n">
        <f aca="false">G71+12*H71+I71</f>
        <v>167.88</v>
      </c>
      <c r="O71" s="8" t="n">
        <f aca="false">M71+12*H71+J71</f>
        <v>347.303588376433</v>
      </c>
      <c r="P71" s="8" t="n">
        <f aca="false">N71+12*H71+J71</f>
        <v>347.303588376433</v>
      </c>
      <c r="Q71" s="8" t="n">
        <f aca="false">O71+12*K71+J71</f>
        <v>526.727176752866</v>
      </c>
      <c r="R71" s="8" t="n">
        <f aca="false">P71+12*K71+J71</f>
        <v>526.727176752866</v>
      </c>
      <c r="S71" s="8" t="n">
        <f aca="false">(M71+N71)/2</f>
        <v>167.88</v>
      </c>
      <c r="T71" s="8" t="n">
        <f aca="false">(O71+P71)/2</f>
        <v>347.303588376433</v>
      </c>
      <c r="U71" s="8" t="n">
        <f aca="false">(Q71+R71)/2</f>
        <v>526.727176752866</v>
      </c>
      <c r="V71" s="7" t="s">
        <v>137</v>
      </c>
      <c r="W71" s="22" t="s">
        <v>138</v>
      </c>
      <c r="X71" s="7" t="s">
        <v>139</v>
      </c>
      <c r="Y71" s="7" t="s">
        <v>108</v>
      </c>
      <c r="Z71" s="7" t="s">
        <v>116</v>
      </c>
    </row>
    <row r="72" customFormat="false" ht="15" hidden="false" customHeight="false" outlineLevel="0" collapsed="false">
      <c r="A72" s="7" t="n">
        <v>71</v>
      </c>
      <c r="B72" s="7" t="s">
        <v>33</v>
      </c>
      <c r="C72" s="7" t="s">
        <v>36</v>
      </c>
      <c r="D72" s="7" t="s">
        <v>160</v>
      </c>
      <c r="E72" s="7" t="s">
        <v>306</v>
      </c>
      <c r="F72" s="20" t="n">
        <v>700</v>
      </c>
      <c r="G72" s="20" t="n">
        <v>2000</v>
      </c>
      <c r="H72" s="20" t="n">
        <v>0</v>
      </c>
      <c r="I72" s="21" t="n">
        <f aca="false">150+12.5</f>
        <v>162.5</v>
      </c>
      <c r="J72" s="21" t="n">
        <f aca="false">150+12.5</f>
        <v>162.5</v>
      </c>
      <c r="K72" s="21" t="n">
        <f aca="false">H72</f>
        <v>0</v>
      </c>
      <c r="L72" s="7" t="s">
        <v>106</v>
      </c>
      <c r="M72" s="8" t="n">
        <f aca="false">F72+12*H72+I72</f>
        <v>862.5</v>
      </c>
      <c r="N72" s="8" t="n">
        <f aca="false">G72+12*H72+I72</f>
        <v>2162.5</v>
      </c>
      <c r="O72" s="8" t="n">
        <f aca="false">M72+12*H72+J72</f>
        <v>1025</v>
      </c>
      <c r="P72" s="8" t="n">
        <f aca="false">N72+12*H72+J72</f>
        <v>2325</v>
      </c>
      <c r="Q72" s="8" t="n">
        <f aca="false">O72+12*K72+J72</f>
        <v>1187.5</v>
      </c>
      <c r="R72" s="8" t="n">
        <f aca="false">P72+12*K72+J72</f>
        <v>2487.5</v>
      </c>
      <c r="S72" s="8" t="n">
        <f aca="false">(M72+N72)/2</f>
        <v>1512.5</v>
      </c>
      <c r="T72" s="8" t="n">
        <f aca="false">(O72+P72)/2</f>
        <v>1675</v>
      </c>
      <c r="U72" s="8" t="n">
        <f aca="false">(Q72+R72)/2</f>
        <v>1837.5</v>
      </c>
      <c r="V72" s="7" t="s">
        <v>307</v>
      </c>
      <c r="W72" s="22" t="s">
        <v>162</v>
      </c>
      <c r="X72" s="7" t="s">
        <v>163</v>
      </c>
      <c r="Y72" s="7" t="s">
        <v>108</v>
      </c>
      <c r="Z72" s="7" t="s">
        <v>109</v>
      </c>
    </row>
    <row r="73" customFormat="false" ht="15" hidden="false" customHeight="false" outlineLevel="0" collapsed="false">
      <c r="A73" s="7" t="n">
        <v>72</v>
      </c>
      <c r="B73" s="7" t="s">
        <v>33</v>
      </c>
      <c r="C73" s="7" t="s">
        <v>36</v>
      </c>
      <c r="D73" s="7" t="s">
        <v>165</v>
      </c>
      <c r="E73" s="7" t="s">
        <v>306</v>
      </c>
      <c r="F73" s="20" t="n">
        <v>890</v>
      </c>
      <c r="G73" s="20" t="n">
        <v>890</v>
      </c>
      <c r="H73" s="20" t="n">
        <v>0</v>
      </c>
      <c r="I73" s="23" t="n">
        <f aca="false">Hypothèses!$B$13</f>
        <v>41.423588376433</v>
      </c>
      <c r="J73" s="23" t="n">
        <f aca="false">Hypothèses!$B$13</f>
        <v>41.423588376433</v>
      </c>
      <c r="K73" s="21" t="n">
        <f aca="false">H73</f>
        <v>0</v>
      </c>
      <c r="L73" s="7" t="s">
        <v>106</v>
      </c>
      <c r="M73" s="8" t="n">
        <f aca="false">F73+12*H73+I73</f>
        <v>931.423588376433</v>
      </c>
      <c r="N73" s="8" t="n">
        <f aca="false">G73+12*H73+I73</f>
        <v>931.423588376433</v>
      </c>
      <c r="O73" s="8" t="n">
        <f aca="false">M73+12*H73+J73</f>
        <v>972.847176752866</v>
      </c>
      <c r="P73" s="8" t="n">
        <f aca="false">N73+12*H73+J73</f>
        <v>972.847176752866</v>
      </c>
      <c r="Q73" s="8" t="n">
        <f aca="false">O73+12*K73+J73</f>
        <v>1014.2707651293</v>
      </c>
      <c r="R73" s="8" t="n">
        <f aca="false">P73+12*K73+J73</f>
        <v>1014.2707651293</v>
      </c>
      <c r="S73" s="8" t="n">
        <f aca="false">(M73+N73)/2</f>
        <v>931.423588376433</v>
      </c>
      <c r="T73" s="8" t="n">
        <f aca="false">(O73+P73)/2</f>
        <v>972.847176752866</v>
      </c>
      <c r="U73" s="8" t="n">
        <f aca="false">(Q73+R73)/2</f>
        <v>1014.2707651293</v>
      </c>
      <c r="V73" s="7"/>
      <c r="W73" s="22" t="s">
        <v>166</v>
      </c>
      <c r="X73" s="7" t="s">
        <v>167</v>
      </c>
      <c r="Y73" s="7" t="s">
        <v>108</v>
      </c>
      <c r="Z73" s="7" t="s">
        <v>168</v>
      </c>
    </row>
    <row r="74" customFormat="false" ht="15" hidden="false" customHeight="false" outlineLevel="0" collapsed="false">
      <c r="A74" s="7" t="n">
        <v>73</v>
      </c>
      <c r="B74" s="7" t="s">
        <v>33</v>
      </c>
      <c r="C74" s="7" t="s">
        <v>36</v>
      </c>
      <c r="D74" s="7" t="s">
        <v>169</v>
      </c>
      <c r="E74" s="7" t="s">
        <v>308</v>
      </c>
      <c r="F74" s="20" t="n">
        <v>1290</v>
      </c>
      <c r="G74" s="20" t="n">
        <v>1290</v>
      </c>
      <c r="H74" s="20" t="n">
        <v>0</v>
      </c>
      <c r="I74" s="23" t="n">
        <f aca="false">Hypothèses!$B$13</f>
        <v>41.423588376433</v>
      </c>
      <c r="J74" s="23" t="n">
        <f aca="false">Hypothèses!$B$13</f>
        <v>41.423588376433</v>
      </c>
      <c r="K74" s="21" t="n">
        <f aca="false">H74</f>
        <v>0</v>
      </c>
      <c r="L74" s="7" t="s">
        <v>106</v>
      </c>
      <c r="M74" s="8" t="n">
        <f aca="false">F74+12*H74+I74</f>
        <v>1331.42358837643</v>
      </c>
      <c r="N74" s="8" t="n">
        <f aca="false">G74+12*H74+I74</f>
        <v>1331.42358837643</v>
      </c>
      <c r="O74" s="8" t="n">
        <f aca="false">M74+12*H74+J74</f>
        <v>1372.84717675287</v>
      </c>
      <c r="P74" s="8" t="n">
        <f aca="false">N74+12*H74+J74</f>
        <v>1372.84717675287</v>
      </c>
      <c r="Q74" s="8" t="n">
        <f aca="false">O74+12*K74+J74</f>
        <v>1414.2707651293</v>
      </c>
      <c r="R74" s="8" t="n">
        <f aca="false">P74+12*K74+J74</f>
        <v>1414.2707651293</v>
      </c>
      <c r="S74" s="8" t="n">
        <f aca="false">(M74+N74)/2</f>
        <v>1331.42358837643</v>
      </c>
      <c r="T74" s="8" t="n">
        <f aca="false">(O74+P74)/2</f>
        <v>1372.84717675287</v>
      </c>
      <c r="U74" s="8" t="n">
        <f aca="false">(Q74+R74)/2</f>
        <v>1414.2707651293</v>
      </c>
      <c r="V74" s="7"/>
      <c r="W74" s="22" t="s">
        <v>171</v>
      </c>
      <c r="X74" s="7" t="s">
        <v>167</v>
      </c>
      <c r="Y74" s="7" t="s">
        <v>108</v>
      </c>
      <c r="Z74" s="7" t="s">
        <v>164</v>
      </c>
    </row>
    <row r="75" customFormat="false" ht="15" hidden="false" customHeight="false" outlineLevel="0" collapsed="false">
      <c r="A75" s="7" t="n">
        <v>74</v>
      </c>
      <c r="B75" s="7" t="s">
        <v>33</v>
      </c>
      <c r="C75" s="7" t="s">
        <v>36</v>
      </c>
      <c r="D75" s="7" t="s">
        <v>180</v>
      </c>
      <c r="E75" s="7" t="s">
        <v>309</v>
      </c>
      <c r="F75" s="20" t="n">
        <v>1250</v>
      </c>
      <c r="G75" s="20" t="n">
        <v>1250</v>
      </c>
      <c r="H75" s="20" t="n">
        <v>0</v>
      </c>
      <c r="I75" s="21" t="n">
        <f aca="false">80</f>
        <v>80</v>
      </c>
      <c r="J75" s="21" t="n">
        <f aca="false">80</f>
        <v>80</v>
      </c>
      <c r="K75" s="21" t="n">
        <f aca="false">H75</f>
        <v>0</v>
      </c>
      <c r="L75" s="7" t="s">
        <v>106</v>
      </c>
      <c r="M75" s="8" t="n">
        <f aca="false">F75+12*H75+I75</f>
        <v>1330</v>
      </c>
      <c r="N75" s="8" t="n">
        <f aca="false">G75+12*H75+I75</f>
        <v>1330</v>
      </c>
      <c r="O75" s="8" t="n">
        <f aca="false">M75+12*H75+J75</f>
        <v>1410</v>
      </c>
      <c r="P75" s="8" t="n">
        <f aca="false">N75+12*H75+J75</f>
        <v>1410</v>
      </c>
      <c r="Q75" s="8" t="n">
        <f aca="false">O75+12*K75+J75</f>
        <v>1490</v>
      </c>
      <c r="R75" s="8" t="n">
        <f aca="false">P75+12*K75+J75</f>
        <v>1490</v>
      </c>
      <c r="S75" s="8" t="n">
        <f aca="false">(M75+N75)/2</f>
        <v>1330</v>
      </c>
      <c r="T75" s="8" t="n">
        <f aca="false">(O75+P75)/2</f>
        <v>1410</v>
      </c>
      <c r="U75" s="8" t="n">
        <f aca="false">(Q75+R75)/2</f>
        <v>1490</v>
      </c>
      <c r="V75" s="7"/>
      <c r="W75" s="22" t="s">
        <v>183</v>
      </c>
      <c r="X75" s="7" t="s">
        <v>184</v>
      </c>
      <c r="Y75" s="7" t="s">
        <v>108</v>
      </c>
      <c r="Z75" s="7" t="s">
        <v>164</v>
      </c>
    </row>
    <row r="76" customFormat="false" ht="15" hidden="false" customHeight="false" outlineLevel="0" collapsed="false">
      <c r="A76" s="7" t="n">
        <v>75</v>
      </c>
      <c r="B76" s="7" t="s">
        <v>33</v>
      </c>
      <c r="C76" s="7" t="s">
        <v>36</v>
      </c>
      <c r="D76" s="7" t="s">
        <v>310</v>
      </c>
      <c r="E76" s="7" t="s">
        <v>311</v>
      </c>
      <c r="F76" s="20" t="n">
        <v>790</v>
      </c>
      <c r="G76" s="20" t="n">
        <v>4000</v>
      </c>
      <c r="H76" s="20" t="n">
        <v>0</v>
      </c>
      <c r="I76" s="23" t="n">
        <f aca="false">Hypothèses!$B$13</f>
        <v>41.423588376433</v>
      </c>
      <c r="J76" s="23" t="n">
        <f aca="false">Hypothèses!$B$13</f>
        <v>41.423588376433</v>
      </c>
      <c r="K76" s="21" t="n">
        <f aca="false">H76</f>
        <v>0</v>
      </c>
      <c r="L76" s="7" t="s">
        <v>106</v>
      </c>
      <c r="M76" s="8" t="n">
        <f aca="false">F76+12*H76+I76</f>
        <v>831.423588376433</v>
      </c>
      <c r="N76" s="8" t="n">
        <f aca="false">G76+12*H76+I76</f>
        <v>4041.42358837643</v>
      </c>
      <c r="O76" s="8" t="n">
        <f aca="false">M76+12*H76+J76</f>
        <v>872.847176752866</v>
      </c>
      <c r="P76" s="8" t="n">
        <f aca="false">N76+12*H76+J76</f>
        <v>4082.84717675287</v>
      </c>
      <c r="Q76" s="8" t="n">
        <f aca="false">O76+12*K76+J76</f>
        <v>914.270765129299</v>
      </c>
      <c r="R76" s="8" t="n">
        <f aca="false">P76+12*K76+J76</f>
        <v>4124.2707651293</v>
      </c>
      <c r="S76" s="8" t="n">
        <f aca="false">(M76+N76)/2</f>
        <v>2436.42358837643</v>
      </c>
      <c r="T76" s="8" t="n">
        <f aca="false">(O76+P76)/2</f>
        <v>2477.84717675287</v>
      </c>
      <c r="U76" s="8" t="n">
        <f aca="false">(Q76+R76)/2</f>
        <v>2519.2707651293</v>
      </c>
      <c r="V76" s="7" t="s">
        <v>312</v>
      </c>
      <c r="W76" s="22" t="s">
        <v>183</v>
      </c>
      <c r="X76" s="7" t="s">
        <v>184</v>
      </c>
      <c r="Y76" s="7" t="s">
        <v>108</v>
      </c>
      <c r="Z76" s="7" t="s">
        <v>164</v>
      </c>
    </row>
    <row r="77" customFormat="false" ht="15" hidden="false" customHeight="false" outlineLevel="0" collapsed="false">
      <c r="A77" s="7" t="n">
        <v>76</v>
      </c>
      <c r="B77" s="7" t="s">
        <v>33</v>
      </c>
      <c r="C77" s="7" t="s">
        <v>36</v>
      </c>
      <c r="D77" s="7" t="s">
        <v>189</v>
      </c>
      <c r="E77" s="7" t="s">
        <v>190</v>
      </c>
      <c r="F77" s="20" t="n">
        <v>590</v>
      </c>
      <c r="G77" s="20" t="n">
        <v>590</v>
      </c>
      <c r="H77" s="20" t="n">
        <v>0</v>
      </c>
      <c r="I77" s="23" t="n">
        <f aca="false">Hypothèses!$B$13</f>
        <v>41.423588376433</v>
      </c>
      <c r="J77" s="23" t="n">
        <f aca="false">Hypothèses!$B$13</f>
        <v>41.423588376433</v>
      </c>
      <c r="K77" s="21" t="n">
        <f aca="false">H77</f>
        <v>0</v>
      </c>
      <c r="L77" s="7" t="s">
        <v>106</v>
      </c>
      <c r="M77" s="8" t="n">
        <f aca="false">F77+12*H77+I77</f>
        <v>631.423588376433</v>
      </c>
      <c r="N77" s="8" t="n">
        <f aca="false">G77+12*H77+I77</f>
        <v>631.423588376433</v>
      </c>
      <c r="O77" s="8" t="n">
        <f aca="false">M77+12*H77+J77</f>
        <v>672.847176752866</v>
      </c>
      <c r="P77" s="8" t="n">
        <f aca="false">N77+12*H77+J77</f>
        <v>672.847176752866</v>
      </c>
      <c r="Q77" s="8" t="n">
        <f aca="false">O77+12*K77+J77</f>
        <v>714.270765129299</v>
      </c>
      <c r="R77" s="8" t="n">
        <f aca="false">P77+12*K77+J77</f>
        <v>714.270765129299</v>
      </c>
      <c r="S77" s="8" t="n">
        <f aca="false">(M77+N77)/2</f>
        <v>631.423588376433</v>
      </c>
      <c r="T77" s="8" t="n">
        <f aca="false">(O77+P77)/2</f>
        <v>672.847176752866</v>
      </c>
      <c r="U77" s="8" t="n">
        <f aca="false">(Q77+R77)/2</f>
        <v>714.270765129299</v>
      </c>
      <c r="V77" s="7" t="s">
        <v>313</v>
      </c>
      <c r="W77" s="22" t="s">
        <v>192</v>
      </c>
      <c r="X77" s="7" t="s">
        <v>193</v>
      </c>
      <c r="Y77" s="7" t="s">
        <v>108</v>
      </c>
      <c r="Z77" s="7" t="s">
        <v>109</v>
      </c>
    </row>
    <row r="78" customFormat="false" ht="15" hidden="false" customHeight="false" outlineLevel="0" collapsed="false">
      <c r="A78" s="7" t="n">
        <v>77</v>
      </c>
      <c r="B78" s="7" t="s">
        <v>33</v>
      </c>
      <c r="C78" s="7" t="s">
        <v>36</v>
      </c>
      <c r="D78" s="7" t="s">
        <v>185</v>
      </c>
      <c r="E78" s="7" t="s">
        <v>314</v>
      </c>
      <c r="F78" s="20" t="n">
        <v>1000</v>
      </c>
      <c r="G78" s="20" t="n">
        <v>3000</v>
      </c>
      <c r="H78" s="20" t="n">
        <v>0</v>
      </c>
      <c r="I78" s="23" t="n">
        <f aca="false">144+Hypothèses!$B$10</f>
        <v>155.543588376433</v>
      </c>
      <c r="J78" s="23" t="n">
        <f aca="false">144+Hypothèses!$B$10</f>
        <v>155.543588376433</v>
      </c>
      <c r="K78" s="21" t="n">
        <f aca="false">H78</f>
        <v>0</v>
      </c>
      <c r="L78" s="7" t="s">
        <v>106</v>
      </c>
      <c r="M78" s="8" t="n">
        <f aca="false">F78+12*H78+I78</f>
        <v>1155.54358837643</v>
      </c>
      <c r="N78" s="8" t="n">
        <f aca="false">G78+12*H78+I78</f>
        <v>3155.54358837643</v>
      </c>
      <c r="O78" s="8" t="n">
        <f aca="false">M78+12*H78+J78</f>
        <v>1311.08717675287</v>
      </c>
      <c r="P78" s="8" t="n">
        <f aca="false">N78+12*H78+J78</f>
        <v>3311.08717675287</v>
      </c>
      <c r="Q78" s="8" t="n">
        <f aca="false">O78+12*K78+J78</f>
        <v>1466.6307651293</v>
      </c>
      <c r="R78" s="8" t="n">
        <f aca="false">P78+12*K78+J78</f>
        <v>3466.6307651293</v>
      </c>
      <c r="S78" s="8" t="n">
        <f aca="false">(M78+N78)/2</f>
        <v>2155.54358837643</v>
      </c>
      <c r="T78" s="8" t="n">
        <f aca="false">(O78+P78)/2</f>
        <v>2311.08717675287</v>
      </c>
      <c r="U78" s="8" t="n">
        <f aca="false">(Q78+R78)/2</f>
        <v>2466.6307651293</v>
      </c>
      <c r="V78" s="7" t="s">
        <v>315</v>
      </c>
      <c r="W78" s="22" t="s">
        <v>183</v>
      </c>
      <c r="X78" s="7" t="s">
        <v>184</v>
      </c>
      <c r="Y78" s="7" t="s">
        <v>108</v>
      </c>
      <c r="Z78" s="7" t="s">
        <v>188</v>
      </c>
    </row>
    <row r="79" customFormat="false" ht="15" hidden="false" customHeight="false" outlineLevel="0" collapsed="false">
      <c r="A79" s="7" t="n">
        <v>78</v>
      </c>
      <c r="B79" s="7" t="s">
        <v>33</v>
      </c>
      <c r="C79" s="7" t="s">
        <v>36</v>
      </c>
      <c r="D79" s="7" t="s">
        <v>210</v>
      </c>
      <c r="E79" s="7" t="s">
        <v>211</v>
      </c>
      <c r="F79" s="21" t="n">
        <f aca="false">990/1.2</f>
        <v>825</v>
      </c>
      <c r="G79" s="21" t="n">
        <f aca="false">990/1.2</f>
        <v>825</v>
      </c>
      <c r="H79" s="20" t="n">
        <v>0</v>
      </c>
      <c r="I79" s="23" t="n">
        <f aca="false">Hypothèses!$B$13</f>
        <v>41.423588376433</v>
      </c>
      <c r="J79" s="23" t="n">
        <f aca="false">Hypothèses!$B$13</f>
        <v>41.423588376433</v>
      </c>
      <c r="K79" s="21" t="n">
        <f aca="false">H79</f>
        <v>0</v>
      </c>
      <c r="L79" s="7" t="s">
        <v>106</v>
      </c>
      <c r="M79" s="8" t="n">
        <f aca="false">F79+12*H79+I79</f>
        <v>866.423588376433</v>
      </c>
      <c r="N79" s="8" t="n">
        <f aca="false">G79+12*H79+I79</f>
        <v>866.423588376433</v>
      </c>
      <c r="O79" s="8" t="n">
        <f aca="false">M79+12*H79+J79</f>
        <v>907.847176752866</v>
      </c>
      <c r="P79" s="8" t="n">
        <f aca="false">N79+12*H79+J79</f>
        <v>907.847176752866</v>
      </c>
      <c r="Q79" s="8" t="n">
        <f aca="false">O79+12*K79+J79</f>
        <v>949.270765129299</v>
      </c>
      <c r="R79" s="8" t="n">
        <f aca="false">P79+12*K79+J79</f>
        <v>949.270765129299</v>
      </c>
      <c r="S79" s="8" t="n">
        <f aca="false">(M79+N79)/2</f>
        <v>866.423588376433</v>
      </c>
      <c r="T79" s="8" t="n">
        <f aca="false">(O79+P79)/2</f>
        <v>907.847176752866</v>
      </c>
      <c r="U79" s="8" t="n">
        <f aca="false">(Q79+R79)/2</f>
        <v>949.270765129299</v>
      </c>
      <c r="V79" s="7" t="s">
        <v>316</v>
      </c>
      <c r="W79" s="22" t="s">
        <v>213</v>
      </c>
      <c r="X79" s="7" t="s">
        <v>214</v>
      </c>
      <c r="Y79" s="7" t="s">
        <v>108</v>
      </c>
      <c r="Z79" s="7" t="s">
        <v>215</v>
      </c>
    </row>
    <row r="80" customFormat="false" ht="15" hidden="false" customHeight="false" outlineLevel="0" collapsed="false">
      <c r="A80" s="7" t="n">
        <v>79</v>
      </c>
      <c r="B80" s="7" t="s">
        <v>33</v>
      </c>
      <c r="C80" s="7" t="s">
        <v>36</v>
      </c>
      <c r="D80" s="7" t="s">
        <v>268</v>
      </c>
      <c r="E80" s="7" t="s">
        <v>317</v>
      </c>
      <c r="F80" s="20" t="n">
        <v>990</v>
      </c>
      <c r="G80" s="20" t="n">
        <v>990</v>
      </c>
      <c r="H80" s="20" t="n">
        <v>0</v>
      </c>
      <c r="I80" s="21" t="n">
        <f aca="false">98</f>
        <v>98</v>
      </c>
      <c r="J80" s="21" t="n">
        <f aca="false">98</f>
        <v>98</v>
      </c>
      <c r="K80" s="21" t="n">
        <f aca="false">H80</f>
        <v>0</v>
      </c>
      <c r="L80" s="7" t="s">
        <v>106</v>
      </c>
      <c r="M80" s="8" t="n">
        <f aca="false">F80+12*H80+I80</f>
        <v>1088</v>
      </c>
      <c r="N80" s="8" t="n">
        <f aca="false">G80+12*H80+I80</f>
        <v>1088</v>
      </c>
      <c r="O80" s="8" t="n">
        <f aca="false">M80+12*H80+J80</f>
        <v>1186</v>
      </c>
      <c r="P80" s="8" t="n">
        <f aca="false">N80+12*H80+J80</f>
        <v>1186</v>
      </c>
      <c r="Q80" s="8" t="n">
        <f aca="false">O80+12*K80+J80</f>
        <v>1284</v>
      </c>
      <c r="R80" s="8" t="n">
        <f aca="false">P80+12*K80+J80</f>
        <v>1284</v>
      </c>
      <c r="S80" s="8" t="n">
        <f aca="false">(M80+N80)/2</f>
        <v>1088</v>
      </c>
      <c r="T80" s="8" t="n">
        <f aca="false">(O80+P80)/2</f>
        <v>1186</v>
      </c>
      <c r="U80" s="8" t="n">
        <f aca="false">(Q80+R80)/2</f>
        <v>1284</v>
      </c>
      <c r="V80" s="7" t="s">
        <v>318</v>
      </c>
      <c r="W80" s="22" t="s">
        <v>271</v>
      </c>
      <c r="X80" s="7" t="s">
        <v>193</v>
      </c>
      <c r="Y80" s="7" t="s">
        <v>108</v>
      </c>
      <c r="Z80" s="7" t="s">
        <v>164</v>
      </c>
    </row>
    <row r="81" customFormat="false" ht="15" hidden="false" customHeight="false" outlineLevel="0" collapsed="false">
      <c r="A81" s="7" t="n">
        <v>80</v>
      </c>
      <c r="B81" s="7" t="s">
        <v>33</v>
      </c>
      <c r="C81" s="7" t="s">
        <v>36</v>
      </c>
      <c r="D81" s="7" t="s">
        <v>294</v>
      </c>
      <c r="E81" s="7" t="s">
        <v>319</v>
      </c>
      <c r="F81" s="20" t="n">
        <v>800</v>
      </c>
      <c r="G81" s="20" t="n">
        <v>2800</v>
      </c>
      <c r="H81" s="20" t="n">
        <v>0</v>
      </c>
      <c r="I81" s="23" t="n">
        <f aca="false">Hypothèses!$B$13</f>
        <v>41.423588376433</v>
      </c>
      <c r="J81" s="23" t="n">
        <f aca="false">Hypothèses!$B$13</f>
        <v>41.423588376433</v>
      </c>
      <c r="K81" s="21" t="n">
        <f aca="false">H81</f>
        <v>0</v>
      </c>
      <c r="L81" s="7" t="s">
        <v>106</v>
      </c>
      <c r="M81" s="8" t="n">
        <f aca="false">F81+12*H81+I81</f>
        <v>841.423588376433</v>
      </c>
      <c r="N81" s="8" t="n">
        <f aca="false">G81+12*H81+I81</f>
        <v>2841.42358837643</v>
      </c>
      <c r="O81" s="8" t="n">
        <f aca="false">M81+12*H81+J81</f>
        <v>882.847176752866</v>
      </c>
      <c r="P81" s="8" t="n">
        <f aca="false">N81+12*H81+J81</f>
        <v>2882.84717675287</v>
      </c>
      <c r="Q81" s="8" t="n">
        <f aca="false">O81+12*K81+J81</f>
        <v>924.270765129299</v>
      </c>
      <c r="R81" s="8" t="n">
        <f aca="false">P81+12*K81+J81</f>
        <v>2924.2707651293</v>
      </c>
      <c r="S81" s="8" t="n">
        <f aca="false">(M81+N81)/2</f>
        <v>1841.42358837643</v>
      </c>
      <c r="T81" s="8" t="n">
        <f aca="false">(O81+P81)/2</f>
        <v>1882.84717675287</v>
      </c>
      <c r="U81" s="8" t="n">
        <f aca="false">(Q81+R81)/2</f>
        <v>1924.2707651293</v>
      </c>
      <c r="V81" s="7" t="s">
        <v>218</v>
      </c>
      <c r="W81" s="22" t="s">
        <v>196</v>
      </c>
      <c r="X81" s="7" t="s">
        <v>184</v>
      </c>
      <c r="Y81" s="7" t="s">
        <v>108</v>
      </c>
      <c r="Z81" s="7" t="s">
        <v>164</v>
      </c>
    </row>
    <row r="82" customFormat="false" ht="15" hidden="false" customHeight="false" outlineLevel="0" collapsed="false">
      <c r="A82" s="7" t="n">
        <v>81</v>
      </c>
      <c r="B82" s="7" t="s">
        <v>33</v>
      </c>
      <c r="C82" s="7" t="s">
        <v>36</v>
      </c>
      <c r="D82" s="7" t="s">
        <v>320</v>
      </c>
      <c r="E82" s="7" t="s">
        <v>321</v>
      </c>
      <c r="F82" s="20" t="n">
        <v>1200</v>
      </c>
      <c r="G82" s="20" t="n">
        <v>3000</v>
      </c>
      <c r="H82" s="20" t="n">
        <v>0</v>
      </c>
      <c r="I82" s="23" t="n">
        <f aca="false">Hypothèses!$B$13</f>
        <v>41.423588376433</v>
      </c>
      <c r="J82" s="23" t="n">
        <f aca="false">Hypothèses!$B$13</f>
        <v>41.423588376433</v>
      </c>
      <c r="K82" s="21" t="n">
        <f aca="false">H82</f>
        <v>0</v>
      </c>
      <c r="L82" s="7" t="s">
        <v>106</v>
      </c>
      <c r="M82" s="8" t="n">
        <f aca="false">F82+12*H82+I82</f>
        <v>1241.42358837643</v>
      </c>
      <c r="N82" s="8" t="n">
        <f aca="false">G82+12*H82+I82</f>
        <v>3041.42358837643</v>
      </c>
      <c r="O82" s="8" t="n">
        <f aca="false">M82+12*H82+J82</f>
        <v>1282.84717675287</v>
      </c>
      <c r="P82" s="8" t="n">
        <f aca="false">N82+12*H82+J82</f>
        <v>3082.84717675287</v>
      </c>
      <c r="Q82" s="8" t="n">
        <f aca="false">O82+12*K82+J82</f>
        <v>1324.2707651293</v>
      </c>
      <c r="R82" s="8" t="n">
        <f aca="false">P82+12*K82+J82</f>
        <v>3124.2707651293</v>
      </c>
      <c r="S82" s="8" t="n">
        <f aca="false">(M82+N82)/2</f>
        <v>2141.42358837643</v>
      </c>
      <c r="T82" s="8" t="n">
        <f aca="false">(O82+P82)/2</f>
        <v>2182.84717675287</v>
      </c>
      <c r="U82" s="8" t="n">
        <f aca="false">(Q82+R82)/2</f>
        <v>2224.2707651293</v>
      </c>
      <c r="V82" s="7" t="s">
        <v>322</v>
      </c>
      <c r="W82" s="22" t="s">
        <v>323</v>
      </c>
      <c r="X82" s="7" t="s">
        <v>184</v>
      </c>
      <c r="Y82" s="7" t="s">
        <v>108</v>
      </c>
      <c r="Z82" s="7" t="s">
        <v>164</v>
      </c>
    </row>
    <row r="83" customFormat="false" ht="15" hidden="false" customHeight="false" outlineLevel="0" collapsed="false">
      <c r="A83" s="7" t="n">
        <v>82</v>
      </c>
      <c r="B83" s="7" t="s">
        <v>33</v>
      </c>
      <c r="C83" s="7" t="s">
        <v>36</v>
      </c>
      <c r="D83" s="7" t="s">
        <v>224</v>
      </c>
      <c r="E83" s="7" t="s">
        <v>225</v>
      </c>
      <c r="F83" s="20" t="n">
        <v>590</v>
      </c>
      <c r="G83" s="20" t="n">
        <v>2500</v>
      </c>
      <c r="H83" s="20" t="n">
        <v>0</v>
      </c>
      <c r="I83" s="23" t="n">
        <f aca="false">Hypothèses!$B$13</f>
        <v>41.423588376433</v>
      </c>
      <c r="J83" s="23" t="n">
        <f aca="false">Hypothèses!$B$13</f>
        <v>41.423588376433</v>
      </c>
      <c r="K83" s="21" t="n">
        <f aca="false">H83</f>
        <v>0</v>
      </c>
      <c r="L83" s="7" t="s">
        <v>106</v>
      </c>
      <c r="M83" s="8" t="n">
        <f aca="false">F83+12*H83+I83</f>
        <v>631.423588376433</v>
      </c>
      <c r="N83" s="8" t="n">
        <f aca="false">G83+12*H83+I83</f>
        <v>2541.42358837643</v>
      </c>
      <c r="O83" s="8" t="n">
        <f aca="false">M83+12*H83+J83</f>
        <v>672.847176752866</v>
      </c>
      <c r="P83" s="8" t="n">
        <f aca="false">N83+12*H83+J83</f>
        <v>2582.84717675287</v>
      </c>
      <c r="Q83" s="8" t="n">
        <f aca="false">O83+12*K83+J83</f>
        <v>714.270765129299</v>
      </c>
      <c r="R83" s="8" t="n">
        <f aca="false">P83+12*K83+J83</f>
        <v>2624.2707651293</v>
      </c>
      <c r="S83" s="8" t="n">
        <f aca="false">(M83+N83)/2</f>
        <v>1586.42358837643</v>
      </c>
      <c r="T83" s="8" t="n">
        <f aca="false">(O83+P83)/2</f>
        <v>1627.84717675287</v>
      </c>
      <c r="U83" s="8" t="n">
        <f aca="false">(Q83+R83)/2</f>
        <v>1669.2707651293</v>
      </c>
      <c r="V83" s="7" t="s">
        <v>226</v>
      </c>
      <c r="W83" s="22" t="s">
        <v>192</v>
      </c>
      <c r="X83" s="7" t="s">
        <v>184</v>
      </c>
      <c r="Y83" s="7" t="s">
        <v>108</v>
      </c>
      <c r="Z83" s="7" t="s">
        <v>109</v>
      </c>
    </row>
    <row r="84" customFormat="false" ht="15" hidden="false" customHeight="false" outlineLevel="0" collapsed="false">
      <c r="A84" s="7" t="n">
        <v>83</v>
      </c>
      <c r="B84" s="7" t="s">
        <v>34</v>
      </c>
      <c r="C84" s="7" t="s">
        <v>36</v>
      </c>
      <c r="D84" s="7" t="s">
        <v>227</v>
      </c>
      <c r="E84" s="7" t="s">
        <v>324</v>
      </c>
      <c r="F84" s="20" t="n">
        <v>0</v>
      </c>
      <c r="G84" s="20" t="n">
        <v>0</v>
      </c>
      <c r="H84" s="21" t="n">
        <f aca="false">59</f>
        <v>59</v>
      </c>
      <c r="I84" s="20" t="n">
        <v>0</v>
      </c>
      <c r="J84" s="20" t="n">
        <v>0</v>
      </c>
      <c r="K84" s="21" t="n">
        <f aca="false">H84</f>
        <v>59</v>
      </c>
      <c r="L84" s="7" t="s">
        <v>229</v>
      </c>
      <c r="M84" s="8" t="n">
        <f aca="false">F84+12*H84+I84</f>
        <v>708</v>
      </c>
      <c r="N84" s="8" t="n">
        <f aca="false">G84+12*H84+I84</f>
        <v>708</v>
      </c>
      <c r="O84" s="8" t="n">
        <f aca="false">M84+12*H84+J84</f>
        <v>1416</v>
      </c>
      <c r="P84" s="8" t="n">
        <f aca="false">N84+12*H84+J84</f>
        <v>1416</v>
      </c>
      <c r="Q84" s="8" t="n">
        <f aca="false">O84+12*K84+J84</f>
        <v>2124</v>
      </c>
      <c r="R84" s="8" t="n">
        <f aca="false">P84+12*K84+J84</f>
        <v>2124</v>
      </c>
      <c r="S84" s="8" t="n">
        <f aca="false">(M84+N84)/2</f>
        <v>708</v>
      </c>
      <c r="T84" s="8" t="n">
        <f aca="false">(O84+P84)/2</f>
        <v>1416</v>
      </c>
      <c r="U84" s="8" t="n">
        <f aca="false">(Q84+R84)/2</f>
        <v>2124</v>
      </c>
      <c r="V84" s="7" t="s">
        <v>230</v>
      </c>
      <c r="W84" s="22" t="s">
        <v>231</v>
      </c>
      <c r="X84" s="7" t="s">
        <v>193</v>
      </c>
      <c r="Y84" s="7" t="s">
        <v>108</v>
      </c>
      <c r="Z84" s="7" t="s">
        <v>232</v>
      </c>
    </row>
    <row r="85" customFormat="false" ht="15" hidden="false" customHeight="false" outlineLevel="0" collapsed="false">
      <c r="A85" s="7" t="n">
        <v>84</v>
      </c>
      <c r="B85" s="7" t="s">
        <v>34</v>
      </c>
      <c r="C85" s="7" t="s">
        <v>36</v>
      </c>
      <c r="D85" s="7" t="s">
        <v>233</v>
      </c>
      <c r="E85" s="7" t="s">
        <v>325</v>
      </c>
      <c r="F85" s="20" t="n">
        <v>99</v>
      </c>
      <c r="G85" s="20" t="n">
        <v>199</v>
      </c>
      <c r="H85" s="21" t="n">
        <f aca="false">39.99</f>
        <v>39.99</v>
      </c>
      <c r="I85" s="20" t="n">
        <v>0</v>
      </c>
      <c r="J85" s="20" t="n">
        <v>0</v>
      </c>
      <c r="K85" s="21" t="n">
        <f aca="false">H85</f>
        <v>39.99</v>
      </c>
      <c r="L85" s="7" t="s">
        <v>229</v>
      </c>
      <c r="M85" s="8" t="n">
        <f aca="false">F85+12*H85+I85</f>
        <v>578.88</v>
      </c>
      <c r="N85" s="8" t="n">
        <f aca="false">G85+12*H85+I85</f>
        <v>678.88</v>
      </c>
      <c r="O85" s="8" t="n">
        <f aca="false">M85+12*H85+J85</f>
        <v>1058.76</v>
      </c>
      <c r="P85" s="8" t="n">
        <f aca="false">N85+12*H85+J85</f>
        <v>1158.76</v>
      </c>
      <c r="Q85" s="8" t="n">
        <f aca="false">O85+12*K85+J85</f>
        <v>1538.64</v>
      </c>
      <c r="R85" s="8" t="n">
        <f aca="false">P85+12*K85+J85</f>
        <v>1638.64</v>
      </c>
      <c r="S85" s="8" t="n">
        <f aca="false">(M85+N85)/2</f>
        <v>628.88</v>
      </c>
      <c r="T85" s="8" t="n">
        <f aca="false">(O85+P85)/2</f>
        <v>1108.76</v>
      </c>
      <c r="U85" s="8" t="n">
        <f aca="false">(Q85+R85)/2</f>
        <v>1588.64</v>
      </c>
      <c r="V85" s="7" t="s">
        <v>230</v>
      </c>
      <c r="W85" s="22" t="s">
        <v>236</v>
      </c>
      <c r="X85" s="7" t="s">
        <v>193</v>
      </c>
      <c r="Y85" s="7" t="s">
        <v>108</v>
      </c>
      <c r="Z85" s="7" t="s">
        <v>232</v>
      </c>
    </row>
    <row r="86" customFormat="false" ht="15" hidden="false" customHeight="false" outlineLevel="0" collapsed="false">
      <c r="A86" s="7" t="n">
        <v>85</v>
      </c>
      <c r="B86" s="7" t="s">
        <v>34</v>
      </c>
      <c r="C86" s="7" t="s">
        <v>36</v>
      </c>
      <c r="D86" s="7" t="s">
        <v>237</v>
      </c>
      <c r="E86" s="7" t="s">
        <v>238</v>
      </c>
      <c r="F86" s="20" t="n">
        <v>0</v>
      </c>
      <c r="G86" s="20" t="n">
        <v>0</v>
      </c>
      <c r="H86" s="21" t="n">
        <f aca="false">34.9</f>
        <v>34.9</v>
      </c>
      <c r="I86" s="20" t="n">
        <v>0</v>
      </c>
      <c r="J86" s="20" t="n">
        <v>0</v>
      </c>
      <c r="K86" s="21" t="n">
        <f aca="false">H86</f>
        <v>34.9</v>
      </c>
      <c r="L86" s="7" t="s">
        <v>229</v>
      </c>
      <c r="M86" s="8" t="n">
        <f aca="false">F86+12*H86+I86</f>
        <v>418.8</v>
      </c>
      <c r="N86" s="8" t="n">
        <f aca="false">G86+12*H86+I86</f>
        <v>418.8</v>
      </c>
      <c r="O86" s="8" t="n">
        <f aca="false">M86+12*H86+J86</f>
        <v>837.6</v>
      </c>
      <c r="P86" s="8" t="n">
        <f aca="false">N86+12*H86+J86</f>
        <v>837.6</v>
      </c>
      <c r="Q86" s="8" t="n">
        <f aca="false">O86+12*K86+J86</f>
        <v>1256.4</v>
      </c>
      <c r="R86" s="8" t="n">
        <f aca="false">P86+12*K86+J86</f>
        <v>1256.4</v>
      </c>
      <c r="S86" s="8" t="n">
        <f aca="false">(M86+N86)/2</f>
        <v>418.8</v>
      </c>
      <c r="T86" s="8" t="n">
        <f aca="false">(O86+P86)/2</f>
        <v>837.6</v>
      </c>
      <c r="U86" s="8" t="n">
        <f aca="false">(Q86+R86)/2</f>
        <v>1256.4</v>
      </c>
      <c r="V86" s="7" t="s">
        <v>326</v>
      </c>
      <c r="W86" s="22" t="s">
        <v>240</v>
      </c>
      <c r="X86" s="7" t="s">
        <v>193</v>
      </c>
      <c r="Y86" s="7" t="s">
        <v>108</v>
      </c>
      <c r="Z86" s="7" t="s">
        <v>232</v>
      </c>
    </row>
    <row r="87" customFormat="false" ht="15" hidden="false" customHeight="false" outlineLevel="0" collapsed="false">
      <c r="A87" s="7" t="n">
        <v>86</v>
      </c>
      <c r="B87" s="7" t="s">
        <v>34</v>
      </c>
      <c r="C87" s="7" t="s">
        <v>36</v>
      </c>
      <c r="D87" s="7" t="s">
        <v>248</v>
      </c>
      <c r="E87" s="7" t="s">
        <v>249</v>
      </c>
      <c r="F87" s="20" t="n">
        <v>400</v>
      </c>
      <c r="G87" s="20" t="n">
        <v>400</v>
      </c>
      <c r="H87" s="21" t="n">
        <f aca="false">50</f>
        <v>50</v>
      </c>
      <c r="I87" s="20" t="n">
        <v>0</v>
      </c>
      <c r="J87" s="20" t="n">
        <v>0</v>
      </c>
      <c r="K87" s="21" t="n">
        <f aca="false">H87</f>
        <v>50</v>
      </c>
      <c r="L87" s="7" t="s">
        <v>250</v>
      </c>
      <c r="M87" s="8" t="n">
        <f aca="false">F87+12*H87+I87</f>
        <v>1000</v>
      </c>
      <c r="N87" s="8" t="n">
        <f aca="false">G87+12*H87+I87</f>
        <v>1000</v>
      </c>
      <c r="O87" s="8" t="n">
        <f aca="false">M87+12*H87+J87</f>
        <v>1600</v>
      </c>
      <c r="P87" s="8" t="n">
        <f aca="false">N87+12*H87+J87</f>
        <v>1600</v>
      </c>
      <c r="Q87" s="8" t="n">
        <f aca="false">O87+12*K87+J87</f>
        <v>2200</v>
      </c>
      <c r="R87" s="8" t="n">
        <f aca="false">P87+12*K87+J87</f>
        <v>2200</v>
      </c>
      <c r="S87" s="8" t="n">
        <f aca="false">(M87+N87)/2</f>
        <v>1000</v>
      </c>
      <c r="T87" s="8" t="n">
        <f aca="false">(O87+P87)/2</f>
        <v>1600</v>
      </c>
      <c r="U87" s="8" t="n">
        <f aca="false">(Q87+R87)/2</f>
        <v>2200</v>
      </c>
      <c r="V87" s="7" t="s">
        <v>327</v>
      </c>
      <c r="W87" s="22" t="s">
        <v>252</v>
      </c>
      <c r="X87" s="7" t="s">
        <v>253</v>
      </c>
      <c r="Y87" s="7" t="s">
        <v>108</v>
      </c>
      <c r="Z87" s="7" t="s">
        <v>232</v>
      </c>
    </row>
    <row r="88" customFormat="false" ht="15" hidden="false" customHeight="false" outlineLevel="0" collapsed="false">
      <c r="A88" s="7" t="n">
        <v>87</v>
      </c>
      <c r="B88" s="7" t="s">
        <v>34</v>
      </c>
      <c r="C88" s="7" t="s">
        <v>36</v>
      </c>
      <c r="D88" s="7" t="s">
        <v>248</v>
      </c>
      <c r="E88" s="7" t="s">
        <v>328</v>
      </c>
      <c r="F88" s="20" t="n">
        <v>700</v>
      </c>
      <c r="G88" s="20" t="n">
        <v>700</v>
      </c>
      <c r="H88" s="21" t="n">
        <f aca="false">92</f>
        <v>92</v>
      </c>
      <c r="I88" s="20" t="n">
        <v>0</v>
      </c>
      <c r="J88" s="20" t="n">
        <v>0</v>
      </c>
      <c r="K88" s="21" t="n">
        <f aca="false">H88</f>
        <v>92</v>
      </c>
      <c r="L88" s="7" t="s">
        <v>250</v>
      </c>
      <c r="M88" s="8" t="n">
        <f aca="false">F88+12*H88+I88</f>
        <v>1804</v>
      </c>
      <c r="N88" s="8" t="n">
        <f aca="false">G88+12*H88+I88</f>
        <v>1804</v>
      </c>
      <c r="O88" s="8" t="n">
        <f aca="false">M88+12*H88+J88</f>
        <v>2908</v>
      </c>
      <c r="P88" s="8" t="n">
        <f aca="false">N88+12*H88+J88</f>
        <v>2908</v>
      </c>
      <c r="Q88" s="8" t="n">
        <f aca="false">O88+12*K88+J88</f>
        <v>4012</v>
      </c>
      <c r="R88" s="8" t="n">
        <f aca="false">P88+12*K88+J88</f>
        <v>4012</v>
      </c>
      <c r="S88" s="8" t="n">
        <f aca="false">(M88+N88)/2</f>
        <v>1804</v>
      </c>
      <c r="T88" s="8" t="n">
        <f aca="false">(O88+P88)/2</f>
        <v>2908</v>
      </c>
      <c r="U88" s="8" t="n">
        <f aca="false">(Q88+R88)/2</f>
        <v>4012</v>
      </c>
      <c r="V88" s="7" t="s">
        <v>329</v>
      </c>
      <c r="W88" s="22" t="s">
        <v>252</v>
      </c>
      <c r="X88" s="7" t="s">
        <v>253</v>
      </c>
      <c r="Y88" s="7" t="s">
        <v>108</v>
      </c>
      <c r="Z88" s="7" t="s">
        <v>232</v>
      </c>
    </row>
    <row r="89" customFormat="false" ht="15" hidden="false" customHeight="false" outlineLevel="0" collapsed="false">
      <c r="A89" s="7" t="n">
        <v>88</v>
      </c>
      <c r="B89" s="7" t="s">
        <v>34</v>
      </c>
      <c r="C89" s="7" t="s">
        <v>36</v>
      </c>
      <c r="D89" s="7" t="s">
        <v>254</v>
      </c>
      <c r="E89" s="7" t="s">
        <v>255</v>
      </c>
      <c r="F89" s="20" t="n">
        <v>1490</v>
      </c>
      <c r="G89" s="20" t="n">
        <v>1490</v>
      </c>
      <c r="H89" s="21" t="n">
        <f aca="false">490/12</f>
        <v>40.8333333333333</v>
      </c>
      <c r="I89" s="20" t="n">
        <v>0</v>
      </c>
      <c r="J89" s="20" t="n">
        <v>0</v>
      </c>
      <c r="K89" s="21" t="n">
        <f aca="false">H89</f>
        <v>40.8333333333333</v>
      </c>
      <c r="L89" s="7" t="s">
        <v>256</v>
      </c>
      <c r="M89" s="8" t="n">
        <f aca="false">F89+12*H89+I89</f>
        <v>1980</v>
      </c>
      <c r="N89" s="8" t="n">
        <f aca="false">G89+12*H89+I89</f>
        <v>1980</v>
      </c>
      <c r="O89" s="8" t="n">
        <f aca="false">M89+12*H89+J89</f>
        <v>2470</v>
      </c>
      <c r="P89" s="8" t="n">
        <f aca="false">N89+12*H89+J89</f>
        <v>2470</v>
      </c>
      <c r="Q89" s="8" t="n">
        <f aca="false">O89+12*K89+J89</f>
        <v>2960</v>
      </c>
      <c r="R89" s="8" t="n">
        <f aca="false">P89+12*K89+J89</f>
        <v>2960</v>
      </c>
      <c r="S89" s="8" t="n">
        <f aca="false">(M89+N89)/2</f>
        <v>1980</v>
      </c>
      <c r="T89" s="8" t="n">
        <f aca="false">(O89+P89)/2</f>
        <v>2470</v>
      </c>
      <c r="U89" s="8" t="n">
        <f aca="false">(Q89+R89)/2</f>
        <v>2960</v>
      </c>
      <c r="V89" s="7" t="s">
        <v>330</v>
      </c>
      <c r="W89" s="22" t="s">
        <v>258</v>
      </c>
      <c r="X89" s="7" t="s">
        <v>193</v>
      </c>
      <c r="Y89" s="7" t="s">
        <v>108</v>
      </c>
      <c r="Z89" s="7" t="s">
        <v>232</v>
      </c>
    </row>
    <row r="90" customFormat="false" ht="15" hidden="false" customHeight="false" outlineLevel="0" collapsed="false">
      <c r="A90" s="7" t="n">
        <v>89</v>
      </c>
      <c r="B90" s="7" t="s">
        <v>34</v>
      </c>
      <c r="C90" s="7" t="s">
        <v>36</v>
      </c>
      <c r="D90" s="7" t="s">
        <v>259</v>
      </c>
      <c r="E90" s="7" t="s">
        <v>260</v>
      </c>
      <c r="F90" s="20" t="n">
        <v>250</v>
      </c>
      <c r="G90" s="20" t="n">
        <v>250</v>
      </c>
      <c r="H90" s="21" t="n">
        <f aca="false">59</f>
        <v>59</v>
      </c>
      <c r="I90" s="20" t="n">
        <v>0</v>
      </c>
      <c r="J90" s="20" t="n">
        <v>0</v>
      </c>
      <c r="K90" s="21" t="n">
        <f aca="false">H90</f>
        <v>59</v>
      </c>
      <c r="L90" s="7" t="s">
        <v>261</v>
      </c>
      <c r="M90" s="8" t="n">
        <f aca="false">F90+12*H90+I90</f>
        <v>958</v>
      </c>
      <c r="N90" s="8" t="n">
        <f aca="false">G90+12*H90+I90</f>
        <v>958</v>
      </c>
      <c r="O90" s="8" t="n">
        <f aca="false">M90+12*H90+J90</f>
        <v>1666</v>
      </c>
      <c r="P90" s="8" t="n">
        <f aca="false">N90+12*H90+J90</f>
        <v>1666</v>
      </c>
      <c r="Q90" s="8" t="n">
        <f aca="false">O90+12*K90+J90</f>
        <v>2374</v>
      </c>
      <c r="R90" s="8" t="n">
        <f aca="false">P90+12*K90+J90</f>
        <v>2374</v>
      </c>
      <c r="S90" s="8" t="n">
        <f aca="false">(M90+N90)/2</f>
        <v>958</v>
      </c>
      <c r="T90" s="8" t="n">
        <f aca="false">(O90+P90)/2</f>
        <v>1666</v>
      </c>
      <c r="U90" s="8" t="n">
        <f aca="false">(Q90+R90)/2</f>
        <v>2374</v>
      </c>
      <c r="V90" s="7" t="s">
        <v>262</v>
      </c>
      <c r="W90" s="22" t="s">
        <v>263</v>
      </c>
      <c r="X90" s="7" t="s">
        <v>193</v>
      </c>
      <c r="Y90" s="7" t="s">
        <v>108</v>
      </c>
      <c r="Z90" s="7" t="s">
        <v>232</v>
      </c>
    </row>
    <row r="91" customFormat="false" ht="15" hidden="false" customHeight="false" outlineLevel="0" collapsed="false">
      <c r="A91" s="7" t="n">
        <v>90</v>
      </c>
      <c r="B91" s="7" t="s">
        <v>34</v>
      </c>
      <c r="C91" s="7" t="s">
        <v>36</v>
      </c>
      <c r="D91" s="7" t="s">
        <v>264</v>
      </c>
      <c r="E91" s="7" t="s">
        <v>265</v>
      </c>
      <c r="F91" s="20" t="n">
        <v>490</v>
      </c>
      <c r="G91" s="20" t="n">
        <v>490</v>
      </c>
      <c r="H91" s="21" t="n">
        <f aca="false">90</f>
        <v>90</v>
      </c>
      <c r="I91" s="20" t="n">
        <v>0</v>
      </c>
      <c r="J91" s="20" t="n">
        <v>0</v>
      </c>
      <c r="K91" s="21" t="n">
        <f aca="false">H91</f>
        <v>90</v>
      </c>
      <c r="L91" s="7" t="s">
        <v>246</v>
      </c>
      <c r="M91" s="8" t="n">
        <f aca="false">F91+12*H91+I91</f>
        <v>1570</v>
      </c>
      <c r="N91" s="8" t="n">
        <f aca="false">G91+12*H91+I91</f>
        <v>1570</v>
      </c>
      <c r="O91" s="8" t="n">
        <f aca="false">M91+12*H91+J91</f>
        <v>2650</v>
      </c>
      <c r="P91" s="8" t="n">
        <f aca="false">N91+12*H91+J91</f>
        <v>2650</v>
      </c>
      <c r="Q91" s="8" t="n">
        <f aca="false">O91+12*K91+J91</f>
        <v>3730</v>
      </c>
      <c r="R91" s="8" t="n">
        <f aca="false">P91+12*K91+J91</f>
        <v>3730</v>
      </c>
      <c r="S91" s="8" t="n">
        <f aca="false">(M91+N91)/2</f>
        <v>1570</v>
      </c>
      <c r="T91" s="8" t="n">
        <f aca="false">(O91+P91)/2</f>
        <v>2650</v>
      </c>
      <c r="U91" s="8" t="n">
        <f aca="false">(Q91+R91)/2</f>
        <v>3730</v>
      </c>
      <c r="V91" s="7" t="s">
        <v>266</v>
      </c>
      <c r="W91" s="22" t="s">
        <v>267</v>
      </c>
      <c r="X91" s="7" t="s">
        <v>163</v>
      </c>
      <c r="Y91" s="7" t="s">
        <v>108</v>
      </c>
      <c r="Z91" s="7" t="s">
        <v>232</v>
      </c>
    </row>
    <row r="92" customFormat="false" ht="15" hidden="false" customHeight="false" outlineLevel="0" collapsed="false">
      <c r="A92" s="7" t="n">
        <v>91</v>
      </c>
      <c r="B92" s="7" t="s">
        <v>34</v>
      </c>
      <c r="C92" s="7" t="s">
        <v>36</v>
      </c>
      <c r="D92" s="7" t="s">
        <v>264</v>
      </c>
      <c r="E92" s="7" t="s">
        <v>331</v>
      </c>
      <c r="F92" s="20" t="n">
        <v>690</v>
      </c>
      <c r="G92" s="20" t="n">
        <v>690</v>
      </c>
      <c r="H92" s="21" t="n">
        <f aca="false">140</f>
        <v>140</v>
      </c>
      <c r="I92" s="20" t="n">
        <v>0</v>
      </c>
      <c r="J92" s="20" t="n">
        <v>0</v>
      </c>
      <c r="K92" s="21" t="n">
        <f aca="false">H92</f>
        <v>140</v>
      </c>
      <c r="L92" s="7" t="s">
        <v>246</v>
      </c>
      <c r="M92" s="8" t="n">
        <f aca="false">F92+12*H92+I92</f>
        <v>2370</v>
      </c>
      <c r="N92" s="8" t="n">
        <f aca="false">G92+12*H92+I92</f>
        <v>2370</v>
      </c>
      <c r="O92" s="8" t="n">
        <f aca="false">M92+12*H92+J92</f>
        <v>4050</v>
      </c>
      <c r="P92" s="8" t="n">
        <f aca="false">N92+12*H92+J92</f>
        <v>4050</v>
      </c>
      <c r="Q92" s="8" t="n">
        <f aca="false">O92+12*K92+J92</f>
        <v>5730</v>
      </c>
      <c r="R92" s="8" t="n">
        <f aca="false">P92+12*K92+J92</f>
        <v>5730</v>
      </c>
      <c r="S92" s="8" t="n">
        <f aca="false">(M92+N92)/2</f>
        <v>2370</v>
      </c>
      <c r="T92" s="8" t="n">
        <f aca="false">(O92+P92)/2</f>
        <v>4050</v>
      </c>
      <c r="U92" s="8" t="n">
        <f aca="false">(Q92+R92)/2</f>
        <v>5730</v>
      </c>
      <c r="V92" s="7" t="s">
        <v>251</v>
      </c>
      <c r="W92" s="22" t="s">
        <v>267</v>
      </c>
      <c r="X92" s="7" t="s">
        <v>163</v>
      </c>
      <c r="Y92" s="7" t="s">
        <v>108</v>
      </c>
      <c r="Z92" s="7" t="s">
        <v>232</v>
      </c>
    </row>
    <row r="93" customFormat="false" ht="15" hidden="false" customHeight="false" outlineLevel="0" collapsed="false">
      <c r="A93" s="7" t="n">
        <v>92</v>
      </c>
      <c r="B93" s="7" t="s">
        <v>34</v>
      </c>
      <c r="C93" s="7" t="s">
        <v>36</v>
      </c>
      <c r="D93" s="7" t="s">
        <v>268</v>
      </c>
      <c r="E93" s="7" t="s">
        <v>269</v>
      </c>
      <c r="F93" s="20" t="n">
        <v>0</v>
      </c>
      <c r="G93" s="20" t="n">
        <v>0</v>
      </c>
      <c r="H93" s="21" t="n">
        <f aca="false">79</f>
        <v>79</v>
      </c>
      <c r="I93" s="20" t="n">
        <v>0</v>
      </c>
      <c r="J93" s="20" t="n">
        <v>0</v>
      </c>
      <c r="K93" s="21" t="n">
        <f aca="false">98/12</f>
        <v>8.16666666666667</v>
      </c>
      <c r="L93" s="7" t="s">
        <v>261</v>
      </c>
      <c r="M93" s="8" t="n">
        <f aca="false">F93+12*H93+I93</f>
        <v>948</v>
      </c>
      <c r="N93" s="8" t="n">
        <f aca="false">G93+12*H93+I93</f>
        <v>948</v>
      </c>
      <c r="O93" s="8" t="n">
        <f aca="false">M93+12*H93+J93</f>
        <v>1896</v>
      </c>
      <c r="P93" s="8" t="n">
        <f aca="false">N93+12*H93+J93</f>
        <v>1896</v>
      </c>
      <c r="Q93" s="8" t="n">
        <f aca="false">O93+12*K93+J93</f>
        <v>1994</v>
      </c>
      <c r="R93" s="8" t="n">
        <f aca="false">P93+12*K93+J93</f>
        <v>1994</v>
      </c>
      <c r="S93" s="8" t="n">
        <f aca="false">(M93+N93)/2</f>
        <v>948</v>
      </c>
      <c r="T93" s="8" t="n">
        <f aca="false">(O93+P93)/2</f>
        <v>1896</v>
      </c>
      <c r="U93" s="8" t="n">
        <f aca="false">(Q93+R93)/2</f>
        <v>1994</v>
      </c>
      <c r="V93" s="7" t="s">
        <v>332</v>
      </c>
      <c r="W93" s="22" t="s">
        <v>271</v>
      </c>
      <c r="X93" s="7" t="s">
        <v>193</v>
      </c>
      <c r="Y93" s="7" t="s">
        <v>108</v>
      </c>
      <c r="Z93" s="7" t="s">
        <v>232</v>
      </c>
    </row>
    <row r="94" customFormat="false" ht="15" hidden="false" customHeight="false" outlineLevel="0" collapsed="false">
      <c r="A94" s="7" t="n">
        <v>93</v>
      </c>
      <c r="B94" s="7" t="s">
        <v>34</v>
      </c>
      <c r="C94" s="7" t="s">
        <v>36</v>
      </c>
      <c r="D94" s="7" t="s">
        <v>272</v>
      </c>
      <c r="E94" s="7" t="s">
        <v>273</v>
      </c>
      <c r="F94" s="20" t="n">
        <v>0</v>
      </c>
      <c r="G94" s="20" t="n">
        <v>0</v>
      </c>
      <c r="H94" s="21" t="n">
        <f aca="false">99</f>
        <v>99</v>
      </c>
      <c r="I94" s="20" t="n">
        <v>0</v>
      </c>
      <c r="J94" s="20" t="n">
        <v>0</v>
      </c>
      <c r="K94" s="21" t="n">
        <f aca="false">H94</f>
        <v>99</v>
      </c>
      <c r="L94" s="7" t="s">
        <v>229</v>
      </c>
      <c r="M94" s="8" t="n">
        <f aca="false">F94+12*H94+I94</f>
        <v>1188</v>
      </c>
      <c r="N94" s="8" t="n">
        <f aca="false">G94+12*H94+I94</f>
        <v>1188</v>
      </c>
      <c r="O94" s="8" t="n">
        <f aca="false">M94+12*H94+J94</f>
        <v>2376</v>
      </c>
      <c r="P94" s="8" t="n">
        <f aca="false">N94+12*H94+J94</f>
        <v>2376</v>
      </c>
      <c r="Q94" s="8" t="n">
        <f aca="false">O94+12*K94+J94</f>
        <v>3564</v>
      </c>
      <c r="R94" s="8" t="n">
        <f aca="false">P94+12*K94+J94</f>
        <v>3564</v>
      </c>
      <c r="S94" s="8" t="n">
        <f aca="false">(M94+N94)/2</f>
        <v>1188</v>
      </c>
      <c r="T94" s="8" t="n">
        <f aca="false">(O94+P94)/2</f>
        <v>2376</v>
      </c>
      <c r="U94" s="8" t="n">
        <f aca="false">(Q94+R94)/2</f>
        <v>3564</v>
      </c>
      <c r="V94" s="7" t="s">
        <v>230</v>
      </c>
      <c r="W94" s="22" t="s">
        <v>275</v>
      </c>
      <c r="X94" s="7" t="s">
        <v>193</v>
      </c>
      <c r="Y94" s="7" t="s">
        <v>108</v>
      </c>
      <c r="Z94" s="7" t="s">
        <v>232</v>
      </c>
    </row>
    <row r="95" customFormat="false" ht="15" hidden="false" customHeight="false" outlineLevel="0" collapsed="false">
      <c r="A95" s="7" t="n">
        <v>94</v>
      </c>
      <c r="B95" s="7" t="s">
        <v>34</v>
      </c>
      <c r="C95" s="7" t="s">
        <v>36</v>
      </c>
      <c r="D95" s="7" t="s">
        <v>276</v>
      </c>
      <c r="E95" s="7" t="s">
        <v>333</v>
      </c>
      <c r="F95" s="20" t="n">
        <v>0</v>
      </c>
      <c r="G95" s="20" t="n">
        <v>0</v>
      </c>
      <c r="H95" s="21" t="n">
        <f aca="false">149</f>
        <v>149</v>
      </c>
      <c r="I95" s="20" t="n">
        <v>0</v>
      </c>
      <c r="J95" s="20" t="n">
        <v>0</v>
      </c>
      <c r="K95" s="21" t="n">
        <f aca="false">H95</f>
        <v>149</v>
      </c>
      <c r="L95" s="7" t="s">
        <v>246</v>
      </c>
      <c r="M95" s="8" t="n">
        <f aca="false">F95+12*H95+I95</f>
        <v>1788</v>
      </c>
      <c r="N95" s="8" t="n">
        <f aca="false">G95+12*H95+I95</f>
        <v>1788</v>
      </c>
      <c r="O95" s="8" t="n">
        <f aca="false">M95+12*H95+J95</f>
        <v>3576</v>
      </c>
      <c r="P95" s="8" t="n">
        <f aca="false">N95+12*H95+J95</f>
        <v>3576</v>
      </c>
      <c r="Q95" s="8" t="n">
        <f aca="false">O95+12*K95+J95</f>
        <v>5364</v>
      </c>
      <c r="R95" s="8" t="n">
        <f aca="false">P95+12*K95+J95</f>
        <v>5364</v>
      </c>
      <c r="S95" s="8" t="n">
        <f aca="false">(M95+N95)/2</f>
        <v>1788</v>
      </c>
      <c r="T95" s="8" t="n">
        <f aca="false">(O95+P95)/2</f>
        <v>3576</v>
      </c>
      <c r="U95" s="8" t="n">
        <f aca="false">(Q95+R95)/2</f>
        <v>5364</v>
      </c>
      <c r="V95" s="7" t="s">
        <v>334</v>
      </c>
      <c r="W95" s="22" t="s">
        <v>279</v>
      </c>
      <c r="X95" s="7" t="s">
        <v>193</v>
      </c>
      <c r="Y95" s="7" t="s">
        <v>108</v>
      </c>
      <c r="Z95" s="7" t="s">
        <v>232</v>
      </c>
    </row>
    <row r="96" customFormat="false" ht="15" hidden="false" customHeight="false" outlineLevel="0" collapsed="false">
      <c r="A96" s="7" t="n">
        <v>95</v>
      </c>
      <c r="B96" s="7" t="s">
        <v>34</v>
      </c>
      <c r="C96" s="7" t="s">
        <v>36</v>
      </c>
      <c r="D96" s="7" t="s">
        <v>283</v>
      </c>
      <c r="E96" s="7" t="s">
        <v>284</v>
      </c>
      <c r="F96" s="20" t="n">
        <v>0</v>
      </c>
      <c r="G96" s="20" t="n">
        <v>0</v>
      </c>
      <c r="H96" s="21" t="n">
        <f aca="false">99.9</f>
        <v>99.9</v>
      </c>
      <c r="I96" s="20" t="n">
        <v>0</v>
      </c>
      <c r="J96" s="20" t="n">
        <v>0</v>
      </c>
      <c r="K96" s="21" t="n">
        <f aca="false">29.9</f>
        <v>29.9</v>
      </c>
      <c r="L96" s="7" t="s">
        <v>261</v>
      </c>
      <c r="M96" s="8" t="n">
        <f aca="false">F96+12*H96+I96</f>
        <v>1198.8</v>
      </c>
      <c r="N96" s="8" t="n">
        <f aca="false">G96+12*H96+I96</f>
        <v>1198.8</v>
      </c>
      <c r="O96" s="8" t="n">
        <f aca="false">M96+12*H96+J96</f>
        <v>2397.6</v>
      </c>
      <c r="P96" s="8" t="n">
        <f aca="false">N96+12*H96+J96</f>
        <v>2397.6</v>
      </c>
      <c r="Q96" s="8" t="n">
        <f aca="false">O96+12*K96+J96</f>
        <v>2756.4</v>
      </c>
      <c r="R96" s="8" t="n">
        <f aca="false">P96+12*K96+J96</f>
        <v>2756.4</v>
      </c>
      <c r="S96" s="8" t="n">
        <f aca="false">(M96+N96)/2</f>
        <v>1198.8</v>
      </c>
      <c r="T96" s="8" t="n">
        <f aca="false">(O96+P96)/2</f>
        <v>2397.6</v>
      </c>
      <c r="U96" s="8" t="n">
        <f aca="false">(Q96+R96)/2</f>
        <v>2756.4</v>
      </c>
      <c r="V96" s="7" t="s">
        <v>230</v>
      </c>
      <c r="W96" s="22" t="s">
        <v>286</v>
      </c>
      <c r="X96" s="7" t="s">
        <v>193</v>
      </c>
      <c r="Y96" s="7" t="s">
        <v>108</v>
      </c>
      <c r="Z96" s="7" t="s">
        <v>232</v>
      </c>
    </row>
    <row r="97" customFormat="false" ht="15" hidden="false" customHeight="false" outlineLevel="0" collapsed="false">
      <c r="A97" s="7" t="n">
        <v>96</v>
      </c>
      <c r="B97" s="7" t="s">
        <v>35</v>
      </c>
      <c r="C97" s="7" t="s">
        <v>36</v>
      </c>
      <c r="D97" s="7" t="s">
        <v>335</v>
      </c>
      <c r="E97" s="7" t="s">
        <v>336</v>
      </c>
      <c r="F97" s="20" t="n">
        <v>1590</v>
      </c>
      <c r="G97" s="20" t="n">
        <v>1590</v>
      </c>
      <c r="H97" s="20" t="n">
        <v>0</v>
      </c>
      <c r="I97" s="23" t="n">
        <f aca="false">Hypothèses!$B$13</f>
        <v>41.423588376433</v>
      </c>
      <c r="J97" s="23" t="n">
        <f aca="false">Hypothèses!$B$13</f>
        <v>41.423588376433</v>
      </c>
      <c r="K97" s="21" t="n">
        <f aca="false">H97</f>
        <v>0</v>
      </c>
      <c r="L97" s="7" t="s">
        <v>106</v>
      </c>
      <c r="M97" s="8" t="n">
        <f aca="false">F97+12*H97+I97</f>
        <v>1631.42358837643</v>
      </c>
      <c r="N97" s="8" t="n">
        <f aca="false">G97+12*H97+I97</f>
        <v>1631.42358837643</v>
      </c>
      <c r="O97" s="8" t="n">
        <f aca="false">M97+12*H97+J97</f>
        <v>1672.84717675287</v>
      </c>
      <c r="P97" s="8" t="n">
        <f aca="false">N97+12*H97+J97</f>
        <v>1672.84717675287</v>
      </c>
      <c r="Q97" s="8" t="n">
        <f aca="false">O97+12*K97+J97</f>
        <v>1714.2707651293</v>
      </c>
      <c r="R97" s="8" t="n">
        <f aca="false">P97+12*K97+J97</f>
        <v>1714.2707651293</v>
      </c>
      <c r="S97" s="8" t="n">
        <f aca="false">(M97+N97)/2</f>
        <v>1631.42358837643</v>
      </c>
      <c r="T97" s="8" t="n">
        <f aca="false">(O97+P97)/2</f>
        <v>1672.84717675287</v>
      </c>
      <c r="U97" s="8" t="n">
        <f aca="false">(Q97+R97)/2</f>
        <v>1714.2707651293</v>
      </c>
      <c r="V97" s="7"/>
      <c r="W97" s="22" t="s">
        <v>337</v>
      </c>
      <c r="X97" s="7" t="s">
        <v>163</v>
      </c>
      <c r="Y97" s="7" t="s">
        <v>108</v>
      </c>
      <c r="Z97" s="7" t="s">
        <v>109</v>
      </c>
    </row>
    <row r="98" customFormat="false" ht="15" hidden="false" customHeight="false" outlineLevel="0" collapsed="false">
      <c r="A98" s="7" t="n">
        <v>97</v>
      </c>
      <c r="B98" s="7" t="s">
        <v>35</v>
      </c>
      <c r="C98" s="7" t="s">
        <v>36</v>
      </c>
      <c r="D98" s="7" t="s">
        <v>194</v>
      </c>
      <c r="E98" s="7" t="s">
        <v>338</v>
      </c>
      <c r="F98" s="20" t="n">
        <v>1890</v>
      </c>
      <c r="G98" s="20" t="n">
        <v>1890</v>
      </c>
      <c r="H98" s="20" t="n">
        <v>0</v>
      </c>
      <c r="I98" s="23" t="n">
        <f aca="false">Hypothèses!$B$13</f>
        <v>41.423588376433</v>
      </c>
      <c r="J98" s="23" t="n">
        <f aca="false">Hypothèses!$B$13</f>
        <v>41.423588376433</v>
      </c>
      <c r="K98" s="21" t="n">
        <f aca="false">H98</f>
        <v>0</v>
      </c>
      <c r="L98" s="7" t="s">
        <v>106</v>
      </c>
      <c r="M98" s="8" t="n">
        <f aca="false">F98+12*H98+I98</f>
        <v>1931.42358837643</v>
      </c>
      <c r="N98" s="8" t="n">
        <f aca="false">G98+12*H98+I98</f>
        <v>1931.42358837643</v>
      </c>
      <c r="O98" s="8" t="n">
        <f aca="false">M98+12*H98+J98</f>
        <v>1972.84717675287</v>
      </c>
      <c r="P98" s="8" t="n">
        <f aca="false">N98+12*H98+J98</f>
        <v>1972.84717675287</v>
      </c>
      <c r="Q98" s="8" t="n">
        <f aca="false">O98+12*K98+J98</f>
        <v>2014.2707651293</v>
      </c>
      <c r="R98" s="8" t="n">
        <f aca="false">P98+12*K98+J98</f>
        <v>2014.2707651293</v>
      </c>
      <c r="S98" s="8" t="n">
        <f aca="false">(M98+N98)/2</f>
        <v>1931.42358837643</v>
      </c>
      <c r="T98" s="8" t="n">
        <f aca="false">(O98+P98)/2</f>
        <v>1972.84717675287</v>
      </c>
      <c r="U98" s="8" t="n">
        <f aca="false">(Q98+R98)/2</f>
        <v>2014.2707651293</v>
      </c>
      <c r="V98" s="7"/>
      <c r="W98" s="22" t="s">
        <v>196</v>
      </c>
      <c r="X98" s="7" t="s">
        <v>163</v>
      </c>
      <c r="Y98" s="7" t="s">
        <v>108</v>
      </c>
      <c r="Z98" s="7" t="s">
        <v>197</v>
      </c>
    </row>
    <row r="99" customFormat="false" ht="15" hidden="false" customHeight="false" outlineLevel="0" collapsed="false">
      <c r="A99" s="7" t="n">
        <v>98</v>
      </c>
      <c r="B99" s="7" t="s">
        <v>35</v>
      </c>
      <c r="C99" s="7" t="s">
        <v>36</v>
      </c>
      <c r="D99" s="7" t="s">
        <v>202</v>
      </c>
      <c r="E99" s="7" t="s">
        <v>339</v>
      </c>
      <c r="F99" s="20" t="n">
        <v>1990</v>
      </c>
      <c r="G99" s="20" t="n">
        <v>1990</v>
      </c>
      <c r="H99" s="20" t="n">
        <v>0</v>
      </c>
      <c r="I99" s="23" t="n">
        <f aca="false">Hypothèses!$B$13</f>
        <v>41.423588376433</v>
      </c>
      <c r="J99" s="23" t="n">
        <f aca="false">Hypothèses!$B$13</f>
        <v>41.423588376433</v>
      </c>
      <c r="K99" s="21" t="n">
        <f aca="false">H99</f>
        <v>0</v>
      </c>
      <c r="L99" s="7" t="s">
        <v>106</v>
      </c>
      <c r="M99" s="8" t="n">
        <f aca="false">F99+12*H99+I99</f>
        <v>2031.42358837643</v>
      </c>
      <c r="N99" s="8" t="n">
        <f aca="false">G99+12*H99+I99</f>
        <v>2031.42358837643</v>
      </c>
      <c r="O99" s="8" t="n">
        <f aca="false">M99+12*H99+J99</f>
        <v>2072.84717675287</v>
      </c>
      <c r="P99" s="8" t="n">
        <f aca="false">N99+12*H99+J99</f>
        <v>2072.84717675287</v>
      </c>
      <c r="Q99" s="8" t="n">
        <f aca="false">O99+12*K99+J99</f>
        <v>2114.2707651293</v>
      </c>
      <c r="R99" s="8" t="n">
        <f aca="false">P99+12*K99+J99</f>
        <v>2114.2707651293</v>
      </c>
      <c r="S99" s="8" t="n">
        <f aca="false">(M99+N99)/2</f>
        <v>2031.42358837643</v>
      </c>
      <c r="T99" s="8" t="n">
        <f aca="false">(O99+P99)/2</f>
        <v>2072.84717675287</v>
      </c>
      <c r="U99" s="8" t="n">
        <f aca="false">(Q99+R99)/2</f>
        <v>2114.2707651293</v>
      </c>
      <c r="V99" s="7"/>
      <c r="W99" s="22" t="s">
        <v>204</v>
      </c>
      <c r="X99" s="7" t="s">
        <v>167</v>
      </c>
      <c r="Y99" s="7" t="s">
        <v>108</v>
      </c>
      <c r="Z99" s="7" t="s">
        <v>205</v>
      </c>
    </row>
    <row r="100" customFormat="false" ht="15" hidden="false" customHeight="false" outlineLevel="0" collapsed="false">
      <c r="A100" s="7" t="n">
        <v>99</v>
      </c>
      <c r="B100" s="7" t="s">
        <v>35</v>
      </c>
      <c r="C100" s="7" t="s">
        <v>36</v>
      </c>
      <c r="D100" s="7" t="s">
        <v>206</v>
      </c>
      <c r="E100" s="7" t="s">
        <v>340</v>
      </c>
      <c r="F100" s="20" t="n">
        <v>2290</v>
      </c>
      <c r="G100" s="20" t="n">
        <v>2290</v>
      </c>
      <c r="H100" s="20" t="n">
        <v>0</v>
      </c>
      <c r="I100" s="23" t="n">
        <f aca="false">Hypothèses!$B$13</f>
        <v>41.423588376433</v>
      </c>
      <c r="J100" s="23" t="n">
        <f aca="false">Hypothèses!$B$13</f>
        <v>41.423588376433</v>
      </c>
      <c r="K100" s="21" t="n">
        <f aca="false">H100</f>
        <v>0</v>
      </c>
      <c r="L100" s="7" t="s">
        <v>106</v>
      </c>
      <c r="M100" s="8" t="n">
        <f aca="false">F100+12*H100+I100</f>
        <v>2331.42358837643</v>
      </c>
      <c r="N100" s="8" t="n">
        <f aca="false">G100+12*H100+I100</f>
        <v>2331.42358837643</v>
      </c>
      <c r="O100" s="8" t="n">
        <f aca="false">M100+12*H100+J100</f>
        <v>2372.84717675287</v>
      </c>
      <c r="P100" s="8" t="n">
        <f aca="false">N100+12*H100+J100</f>
        <v>2372.84717675287</v>
      </c>
      <c r="Q100" s="8" t="n">
        <f aca="false">O100+12*K100+J100</f>
        <v>2414.2707651293</v>
      </c>
      <c r="R100" s="8" t="n">
        <f aca="false">P100+12*K100+J100</f>
        <v>2414.2707651293</v>
      </c>
      <c r="S100" s="8" t="n">
        <f aca="false">(M100+N100)/2</f>
        <v>2331.42358837643</v>
      </c>
      <c r="T100" s="8" t="n">
        <f aca="false">(O100+P100)/2</f>
        <v>2372.84717675287</v>
      </c>
      <c r="U100" s="8" t="n">
        <f aca="false">(Q100+R100)/2</f>
        <v>2414.2707651293</v>
      </c>
      <c r="V100" s="7" t="s">
        <v>208</v>
      </c>
      <c r="W100" s="22" t="s">
        <v>209</v>
      </c>
      <c r="X100" s="7" t="s">
        <v>163</v>
      </c>
      <c r="Y100" s="7" t="s">
        <v>108</v>
      </c>
      <c r="Z100" s="7" t="s">
        <v>205</v>
      </c>
    </row>
    <row r="101" customFormat="false" ht="15" hidden="false" customHeight="false" outlineLevel="0" collapsed="false">
      <c r="A101" s="7" t="n">
        <v>100</v>
      </c>
      <c r="B101" s="7" t="s">
        <v>35</v>
      </c>
      <c r="C101" s="7" t="s">
        <v>36</v>
      </c>
      <c r="D101" s="7" t="s">
        <v>287</v>
      </c>
      <c r="E101" s="7" t="s">
        <v>341</v>
      </c>
      <c r="F101" s="20" t="n">
        <v>3000</v>
      </c>
      <c r="G101" s="20" t="n">
        <v>7000</v>
      </c>
      <c r="H101" s="20" t="n">
        <v>0</v>
      </c>
      <c r="I101" s="23" t="n">
        <f aca="false">Hypothèses!$B$13</f>
        <v>41.423588376433</v>
      </c>
      <c r="J101" s="23" t="n">
        <f aca="false">Hypothèses!$B$13</f>
        <v>41.423588376433</v>
      </c>
      <c r="K101" s="21" t="n">
        <f aca="false">H101</f>
        <v>0</v>
      </c>
      <c r="L101" s="7" t="s">
        <v>106</v>
      </c>
      <c r="M101" s="8" t="n">
        <f aca="false">F101+12*H101+I101</f>
        <v>3041.42358837643</v>
      </c>
      <c r="N101" s="8" t="n">
        <f aca="false">G101+12*H101+I101</f>
        <v>7041.42358837643</v>
      </c>
      <c r="O101" s="8" t="n">
        <f aca="false">M101+12*H101+J101</f>
        <v>3082.84717675287</v>
      </c>
      <c r="P101" s="8" t="n">
        <f aca="false">N101+12*H101+J101</f>
        <v>7082.84717675287</v>
      </c>
      <c r="Q101" s="8" t="n">
        <f aca="false">O101+12*K101+J101</f>
        <v>3124.2707651293</v>
      </c>
      <c r="R101" s="8" t="n">
        <f aca="false">P101+12*K101+J101</f>
        <v>7124.2707651293</v>
      </c>
      <c r="S101" s="8" t="n">
        <f aca="false">(M101+N101)/2</f>
        <v>5041.42358837643</v>
      </c>
      <c r="T101" s="8" t="n">
        <f aca="false">(O101+P101)/2</f>
        <v>5082.84717675287</v>
      </c>
      <c r="U101" s="8" t="n">
        <f aca="false">(Q101+R101)/2</f>
        <v>5124.2707651293</v>
      </c>
      <c r="V101" s="7"/>
      <c r="W101" s="22" t="s">
        <v>288</v>
      </c>
      <c r="X101" s="7" t="s">
        <v>193</v>
      </c>
      <c r="Y101" s="7" t="s">
        <v>108</v>
      </c>
      <c r="Z101" s="7" t="s">
        <v>164</v>
      </c>
    </row>
    <row r="102" customFormat="false" ht="15" hidden="false" customHeight="false" outlineLevel="0" collapsed="false">
      <c r="A102" s="7" t="n">
        <v>101</v>
      </c>
      <c r="B102" s="7" t="s">
        <v>35</v>
      </c>
      <c r="C102" s="7" t="s">
        <v>36</v>
      </c>
      <c r="D102" s="7" t="s">
        <v>342</v>
      </c>
      <c r="E102" s="7" t="s">
        <v>343</v>
      </c>
      <c r="F102" s="20" t="n">
        <v>4500</v>
      </c>
      <c r="G102" s="20" t="n">
        <v>4500</v>
      </c>
      <c r="H102" s="20" t="n">
        <v>0</v>
      </c>
      <c r="I102" s="23" t="n">
        <f aca="false">Hypothèses!$B$13</f>
        <v>41.423588376433</v>
      </c>
      <c r="J102" s="23" t="n">
        <f aca="false">Hypothèses!$B$13</f>
        <v>41.423588376433</v>
      </c>
      <c r="K102" s="21" t="n">
        <f aca="false">H102</f>
        <v>0</v>
      </c>
      <c r="L102" s="7" t="s">
        <v>106</v>
      </c>
      <c r="M102" s="8" t="n">
        <f aca="false">F102+12*H102+I102</f>
        <v>4541.42358837643</v>
      </c>
      <c r="N102" s="8" t="n">
        <f aca="false">G102+12*H102+I102</f>
        <v>4541.42358837643</v>
      </c>
      <c r="O102" s="8" t="n">
        <f aca="false">M102+12*H102+J102</f>
        <v>4582.84717675287</v>
      </c>
      <c r="P102" s="8" t="n">
        <f aca="false">N102+12*H102+J102</f>
        <v>4582.84717675287</v>
      </c>
      <c r="Q102" s="8" t="n">
        <f aca="false">O102+12*K102+J102</f>
        <v>4624.2707651293</v>
      </c>
      <c r="R102" s="8" t="n">
        <f aca="false">P102+12*K102+J102</f>
        <v>4624.2707651293</v>
      </c>
      <c r="S102" s="8" t="n">
        <f aca="false">(M102+N102)/2</f>
        <v>4541.42358837643</v>
      </c>
      <c r="T102" s="8" t="n">
        <f aca="false">(O102+P102)/2</f>
        <v>4582.84717675287</v>
      </c>
      <c r="U102" s="8" t="n">
        <f aca="false">(Q102+R102)/2</f>
        <v>4624.2707651293</v>
      </c>
      <c r="V102" s="7" t="s">
        <v>344</v>
      </c>
      <c r="W102" s="22" t="s">
        <v>223</v>
      </c>
      <c r="X102" s="7" t="s">
        <v>163</v>
      </c>
      <c r="Y102" s="7" t="s">
        <v>108</v>
      </c>
      <c r="Z102" s="7" t="s">
        <v>109</v>
      </c>
    </row>
    <row r="103" customFormat="false" ht="15" hidden="false" customHeight="false" outlineLevel="0" collapsed="false">
      <c r="A103" s="7" t="n">
        <v>102</v>
      </c>
      <c r="B103" s="7" t="s">
        <v>35</v>
      </c>
      <c r="C103" s="7" t="s">
        <v>36</v>
      </c>
      <c r="D103" s="7" t="s">
        <v>289</v>
      </c>
      <c r="E103" s="7" t="s">
        <v>345</v>
      </c>
      <c r="F103" s="20" t="n">
        <v>3990</v>
      </c>
      <c r="G103" s="20" t="n">
        <v>3990</v>
      </c>
      <c r="H103" s="20" t="n">
        <v>0</v>
      </c>
      <c r="I103" s="23" t="n">
        <f aca="false">Hypothèses!$B$13</f>
        <v>41.423588376433</v>
      </c>
      <c r="J103" s="23" t="n">
        <f aca="false">Hypothèses!$B$13</f>
        <v>41.423588376433</v>
      </c>
      <c r="K103" s="21" t="n">
        <f aca="false">H103</f>
        <v>0</v>
      </c>
      <c r="L103" s="7" t="s">
        <v>106</v>
      </c>
      <c r="M103" s="8" t="n">
        <f aca="false">F103+12*H103+I103</f>
        <v>4031.42358837643</v>
      </c>
      <c r="N103" s="8" t="n">
        <f aca="false">G103+12*H103+I103</f>
        <v>4031.42358837643</v>
      </c>
      <c r="O103" s="8" t="n">
        <f aca="false">M103+12*H103+J103</f>
        <v>4072.84717675287</v>
      </c>
      <c r="P103" s="8" t="n">
        <f aca="false">N103+12*H103+J103</f>
        <v>4072.84717675287</v>
      </c>
      <c r="Q103" s="8" t="n">
        <f aca="false">O103+12*K103+J103</f>
        <v>4114.2707651293</v>
      </c>
      <c r="R103" s="8" t="n">
        <f aca="false">P103+12*K103+J103</f>
        <v>4114.2707651293</v>
      </c>
      <c r="S103" s="8" t="n">
        <f aca="false">(M103+N103)/2</f>
        <v>4031.42358837643</v>
      </c>
      <c r="T103" s="8" t="n">
        <f aca="false">(O103+P103)/2</f>
        <v>4072.84717675287</v>
      </c>
      <c r="U103" s="8" t="n">
        <f aca="false">(Q103+R103)/2</f>
        <v>4114.2707651293</v>
      </c>
      <c r="V103" s="7"/>
      <c r="W103" s="22" t="s">
        <v>290</v>
      </c>
      <c r="X103" s="7" t="s">
        <v>193</v>
      </c>
      <c r="Y103" s="7" t="s">
        <v>108</v>
      </c>
      <c r="Z103" s="7" t="s">
        <v>109</v>
      </c>
    </row>
    <row r="104" customFormat="false" ht="15" hidden="false" customHeight="false" outlineLevel="0" collapsed="false">
      <c r="A104" s="7" t="n">
        <v>103</v>
      </c>
      <c r="B104" s="7" t="s">
        <v>35</v>
      </c>
      <c r="C104" s="7" t="s">
        <v>36</v>
      </c>
      <c r="D104" s="7" t="s">
        <v>346</v>
      </c>
      <c r="E104" s="7" t="s">
        <v>347</v>
      </c>
      <c r="F104" s="20" t="n">
        <v>2000</v>
      </c>
      <c r="G104" s="20" t="n">
        <v>8000</v>
      </c>
      <c r="H104" s="20" t="n">
        <v>0</v>
      </c>
      <c r="I104" s="23" t="n">
        <f aca="false">Hypothèses!$B$13</f>
        <v>41.423588376433</v>
      </c>
      <c r="J104" s="23" t="n">
        <f aca="false">Hypothèses!$B$13</f>
        <v>41.423588376433</v>
      </c>
      <c r="K104" s="21" t="n">
        <f aca="false">H104</f>
        <v>0</v>
      </c>
      <c r="L104" s="7" t="s">
        <v>106</v>
      </c>
      <c r="M104" s="8" t="n">
        <f aca="false">F104+12*H104+I104</f>
        <v>2041.42358837643</v>
      </c>
      <c r="N104" s="8" t="n">
        <f aca="false">G104+12*H104+I104</f>
        <v>8041.42358837643</v>
      </c>
      <c r="O104" s="8" t="n">
        <f aca="false">M104+12*H104+J104</f>
        <v>2082.84717675287</v>
      </c>
      <c r="P104" s="8" t="n">
        <f aca="false">N104+12*H104+J104</f>
        <v>8082.84717675287</v>
      </c>
      <c r="Q104" s="8" t="n">
        <f aca="false">O104+12*K104+J104</f>
        <v>2124.2707651293</v>
      </c>
      <c r="R104" s="8" t="n">
        <f aca="false">P104+12*K104+J104</f>
        <v>8124.2707651293</v>
      </c>
      <c r="S104" s="8" t="n">
        <f aca="false">(M104+N104)/2</f>
        <v>5041.42358837643</v>
      </c>
      <c r="T104" s="8" t="n">
        <f aca="false">(O104+P104)/2</f>
        <v>5082.84717675287</v>
      </c>
      <c r="U104" s="8" t="n">
        <f aca="false">(Q104+R104)/2</f>
        <v>5124.2707651293</v>
      </c>
      <c r="V104" s="7" t="s">
        <v>348</v>
      </c>
      <c r="W104" s="22" t="s">
        <v>349</v>
      </c>
      <c r="X104" s="7" t="s">
        <v>350</v>
      </c>
      <c r="Y104" s="7" t="s">
        <v>108</v>
      </c>
      <c r="Z104" s="7" t="s">
        <v>164</v>
      </c>
    </row>
    <row r="105" customFormat="false" ht="15" hidden="false" customHeight="false" outlineLevel="0" collapsed="false">
      <c r="A105" s="7" t="n">
        <v>104</v>
      </c>
      <c r="B105" s="7" t="s">
        <v>35</v>
      </c>
      <c r="C105" s="7" t="s">
        <v>36</v>
      </c>
      <c r="D105" s="7" t="s">
        <v>346</v>
      </c>
      <c r="E105" s="7" t="s">
        <v>351</v>
      </c>
      <c r="F105" s="20" t="n">
        <v>2500</v>
      </c>
      <c r="G105" s="20" t="n">
        <v>4000</v>
      </c>
      <c r="H105" s="20" t="n">
        <v>0</v>
      </c>
      <c r="I105" s="23" t="n">
        <f aca="false">Hypothèses!$B$13</f>
        <v>41.423588376433</v>
      </c>
      <c r="J105" s="23" t="n">
        <f aca="false">Hypothèses!$B$13</f>
        <v>41.423588376433</v>
      </c>
      <c r="K105" s="21" t="n">
        <f aca="false">H105</f>
        <v>0</v>
      </c>
      <c r="L105" s="7" t="s">
        <v>106</v>
      </c>
      <c r="M105" s="8" t="n">
        <f aca="false">F105+12*H105+I105</f>
        <v>2541.42358837643</v>
      </c>
      <c r="N105" s="8" t="n">
        <f aca="false">G105+12*H105+I105</f>
        <v>4041.42358837643</v>
      </c>
      <c r="O105" s="8" t="n">
        <f aca="false">M105+12*H105+J105</f>
        <v>2582.84717675287</v>
      </c>
      <c r="P105" s="8" t="n">
        <f aca="false">N105+12*H105+J105</f>
        <v>4082.84717675287</v>
      </c>
      <c r="Q105" s="8" t="n">
        <f aca="false">O105+12*K105+J105</f>
        <v>2624.2707651293</v>
      </c>
      <c r="R105" s="8" t="n">
        <f aca="false">P105+12*K105+J105</f>
        <v>4124.2707651293</v>
      </c>
      <c r="S105" s="8" t="n">
        <f aca="false">(M105+N105)/2</f>
        <v>3291.42358837643</v>
      </c>
      <c r="T105" s="8" t="n">
        <f aca="false">(O105+P105)/2</f>
        <v>3332.84717675287</v>
      </c>
      <c r="U105" s="8" t="n">
        <f aca="false">(Q105+R105)/2</f>
        <v>3374.2707651293</v>
      </c>
      <c r="V105" s="7"/>
      <c r="W105" s="22" t="s">
        <v>349</v>
      </c>
      <c r="X105" s="7" t="s">
        <v>350</v>
      </c>
      <c r="Y105" s="7" t="s">
        <v>108</v>
      </c>
      <c r="Z105" s="7" t="s">
        <v>164</v>
      </c>
    </row>
    <row r="106" customFormat="false" ht="15" hidden="false" customHeight="false" outlineLevel="0" collapsed="false">
      <c r="A106" s="7" t="n">
        <v>105</v>
      </c>
      <c r="B106" s="7" t="s">
        <v>35</v>
      </c>
      <c r="C106" s="7" t="s">
        <v>36</v>
      </c>
      <c r="D106" s="7" t="s">
        <v>352</v>
      </c>
      <c r="E106" s="7" t="s">
        <v>353</v>
      </c>
      <c r="F106" s="20" t="n">
        <v>2500</v>
      </c>
      <c r="G106" s="20" t="n">
        <v>6000</v>
      </c>
      <c r="H106" s="20" t="n">
        <v>0</v>
      </c>
      <c r="I106" s="23" t="n">
        <f aca="false">Hypothèses!$B$13</f>
        <v>41.423588376433</v>
      </c>
      <c r="J106" s="23" t="n">
        <f aca="false">Hypothèses!$B$13</f>
        <v>41.423588376433</v>
      </c>
      <c r="K106" s="21" t="n">
        <f aca="false">H106</f>
        <v>0</v>
      </c>
      <c r="L106" s="7" t="s">
        <v>106</v>
      </c>
      <c r="M106" s="8" t="n">
        <f aca="false">F106+12*H106+I106</f>
        <v>2541.42358837643</v>
      </c>
      <c r="N106" s="8" t="n">
        <f aca="false">G106+12*H106+I106</f>
        <v>6041.42358837643</v>
      </c>
      <c r="O106" s="8" t="n">
        <f aca="false">M106+12*H106+J106</f>
        <v>2582.84717675287</v>
      </c>
      <c r="P106" s="8" t="n">
        <f aca="false">N106+12*H106+J106</f>
        <v>6082.84717675287</v>
      </c>
      <c r="Q106" s="8" t="n">
        <f aca="false">O106+12*K106+J106</f>
        <v>2624.2707651293</v>
      </c>
      <c r="R106" s="8" t="n">
        <f aca="false">P106+12*K106+J106</f>
        <v>6124.2707651293</v>
      </c>
      <c r="S106" s="8" t="n">
        <f aca="false">(M106+N106)/2</f>
        <v>4291.42358837643</v>
      </c>
      <c r="T106" s="8" t="n">
        <f aca="false">(O106+P106)/2</f>
        <v>4332.84717675287</v>
      </c>
      <c r="U106" s="8" t="n">
        <f aca="false">(Q106+R106)/2</f>
        <v>4374.2707651293</v>
      </c>
      <c r="V106" s="7"/>
      <c r="W106" s="22" t="s">
        <v>354</v>
      </c>
      <c r="X106" s="7" t="s">
        <v>184</v>
      </c>
      <c r="Y106" s="7" t="s">
        <v>108</v>
      </c>
      <c r="Z106" s="7" t="s">
        <v>164</v>
      </c>
    </row>
    <row r="107" customFormat="false" ht="15" hidden="false" customHeight="false" outlineLevel="0" collapsed="false">
      <c r="A107" s="7" t="n">
        <v>106</v>
      </c>
      <c r="B107" s="7" t="s">
        <v>35</v>
      </c>
      <c r="C107" s="7" t="s">
        <v>36</v>
      </c>
      <c r="D107" s="7" t="s">
        <v>294</v>
      </c>
      <c r="E107" s="7" t="s">
        <v>355</v>
      </c>
      <c r="F107" s="20" t="n">
        <v>3000</v>
      </c>
      <c r="G107" s="20" t="n">
        <v>6000</v>
      </c>
      <c r="H107" s="20" t="n">
        <v>0</v>
      </c>
      <c r="I107" s="23" t="n">
        <f aca="false">Hypothèses!$B$13</f>
        <v>41.423588376433</v>
      </c>
      <c r="J107" s="23" t="n">
        <f aca="false">Hypothèses!$B$13</f>
        <v>41.423588376433</v>
      </c>
      <c r="K107" s="21" t="n">
        <f aca="false">H107</f>
        <v>0</v>
      </c>
      <c r="L107" s="7" t="s">
        <v>106</v>
      </c>
      <c r="M107" s="8" t="n">
        <f aca="false">F107+12*H107+I107</f>
        <v>3041.42358837643</v>
      </c>
      <c r="N107" s="8" t="n">
        <f aca="false">G107+12*H107+I107</f>
        <v>6041.42358837643</v>
      </c>
      <c r="O107" s="8" t="n">
        <f aca="false">M107+12*H107+J107</f>
        <v>3082.84717675287</v>
      </c>
      <c r="P107" s="8" t="n">
        <f aca="false">N107+12*H107+J107</f>
        <v>6082.84717675287</v>
      </c>
      <c r="Q107" s="8" t="n">
        <f aca="false">O107+12*K107+J107</f>
        <v>3124.2707651293</v>
      </c>
      <c r="R107" s="8" t="n">
        <f aca="false">P107+12*K107+J107</f>
        <v>6124.2707651293</v>
      </c>
      <c r="S107" s="8" t="n">
        <f aca="false">(M107+N107)/2</f>
        <v>4541.42358837643</v>
      </c>
      <c r="T107" s="8" t="n">
        <f aca="false">(O107+P107)/2</f>
        <v>4582.84717675287</v>
      </c>
      <c r="U107" s="8" t="n">
        <f aca="false">(Q107+R107)/2</f>
        <v>4624.2707651293</v>
      </c>
      <c r="V107" s="7" t="s">
        <v>218</v>
      </c>
      <c r="W107" s="22" t="s">
        <v>196</v>
      </c>
      <c r="X107" s="7" t="s">
        <v>184</v>
      </c>
      <c r="Y107" s="7" t="s">
        <v>108</v>
      </c>
      <c r="Z107" s="7" t="s">
        <v>164</v>
      </c>
    </row>
    <row r="108" customFormat="false" ht="15" hidden="false" customHeight="false" outlineLevel="0" collapsed="false">
      <c r="A108" s="7" t="n">
        <v>107</v>
      </c>
      <c r="B108" s="7" t="s">
        <v>35</v>
      </c>
      <c r="C108" s="7" t="s">
        <v>36</v>
      </c>
      <c r="D108" s="7" t="s">
        <v>224</v>
      </c>
      <c r="E108" s="7" t="s">
        <v>356</v>
      </c>
      <c r="F108" s="20" t="n">
        <v>1500</v>
      </c>
      <c r="G108" s="20" t="n">
        <v>4000</v>
      </c>
      <c r="H108" s="20" t="n">
        <v>0</v>
      </c>
      <c r="I108" s="23" t="n">
        <f aca="false">Hypothèses!$B$13</f>
        <v>41.423588376433</v>
      </c>
      <c r="J108" s="23" t="n">
        <f aca="false">Hypothèses!$B$13</f>
        <v>41.423588376433</v>
      </c>
      <c r="K108" s="21" t="n">
        <f aca="false">H108</f>
        <v>0</v>
      </c>
      <c r="L108" s="7" t="s">
        <v>106</v>
      </c>
      <c r="M108" s="8" t="n">
        <f aca="false">F108+12*H108+I108</f>
        <v>1541.42358837643</v>
      </c>
      <c r="N108" s="8" t="n">
        <f aca="false">G108+12*H108+I108</f>
        <v>4041.42358837643</v>
      </c>
      <c r="O108" s="8" t="n">
        <f aca="false">M108+12*H108+J108</f>
        <v>1582.84717675287</v>
      </c>
      <c r="P108" s="8" t="n">
        <f aca="false">N108+12*H108+J108</f>
        <v>4082.84717675287</v>
      </c>
      <c r="Q108" s="8" t="n">
        <f aca="false">O108+12*K108+J108</f>
        <v>1624.2707651293</v>
      </c>
      <c r="R108" s="8" t="n">
        <f aca="false">P108+12*K108+J108</f>
        <v>4124.2707651293</v>
      </c>
      <c r="S108" s="8" t="n">
        <f aca="false">(M108+N108)/2</f>
        <v>2791.42358837643</v>
      </c>
      <c r="T108" s="8" t="n">
        <f aca="false">(O108+P108)/2</f>
        <v>2832.84717675287</v>
      </c>
      <c r="U108" s="8" t="n">
        <f aca="false">(Q108+R108)/2</f>
        <v>2874.2707651293</v>
      </c>
      <c r="V108" s="7" t="s">
        <v>218</v>
      </c>
      <c r="W108" s="22" t="s">
        <v>192</v>
      </c>
      <c r="X108" s="7" t="s">
        <v>184</v>
      </c>
      <c r="Y108" s="7" t="s">
        <v>108</v>
      </c>
      <c r="Z108" s="7" t="s">
        <v>109</v>
      </c>
    </row>
    <row r="109" customFormat="false" ht="15" hidden="false" customHeight="false" outlineLevel="0" collapsed="false">
      <c r="A109" s="7" t="n">
        <v>108</v>
      </c>
      <c r="B109" s="7" t="s">
        <v>35</v>
      </c>
      <c r="C109" s="7" t="s">
        <v>36</v>
      </c>
      <c r="D109" s="7" t="s">
        <v>357</v>
      </c>
      <c r="E109" s="7" t="s">
        <v>358</v>
      </c>
      <c r="F109" s="20" t="n">
        <v>2000</v>
      </c>
      <c r="G109" s="20" t="n">
        <v>3000</v>
      </c>
      <c r="H109" s="20" t="n">
        <v>0</v>
      </c>
      <c r="I109" s="23" t="n">
        <f aca="false">Hypothèses!$B$13</f>
        <v>41.423588376433</v>
      </c>
      <c r="J109" s="23" t="n">
        <f aca="false">Hypothèses!$B$13</f>
        <v>41.423588376433</v>
      </c>
      <c r="K109" s="21" t="n">
        <f aca="false">H109</f>
        <v>0</v>
      </c>
      <c r="L109" s="7" t="s">
        <v>106</v>
      </c>
      <c r="M109" s="8" t="n">
        <f aca="false">F109+12*H109+I109</f>
        <v>2041.42358837643</v>
      </c>
      <c r="N109" s="8" t="n">
        <f aca="false">G109+12*H109+I109</f>
        <v>3041.42358837643</v>
      </c>
      <c r="O109" s="8" t="n">
        <f aca="false">M109+12*H109+J109</f>
        <v>2082.84717675287</v>
      </c>
      <c r="P109" s="8" t="n">
        <f aca="false">N109+12*H109+J109</f>
        <v>3082.84717675287</v>
      </c>
      <c r="Q109" s="8" t="n">
        <f aca="false">O109+12*K109+J109</f>
        <v>2124.2707651293</v>
      </c>
      <c r="R109" s="8" t="n">
        <f aca="false">P109+12*K109+J109</f>
        <v>3124.2707651293</v>
      </c>
      <c r="S109" s="8" t="n">
        <f aca="false">(M109+N109)/2</f>
        <v>2541.42358837643</v>
      </c>
      <c r="T109" s="8" t="n">
        <f aca="false">(O109+P109)/2</f>
        <v>2582.84717675287</v>
      </c>
      <c r="U109" s="8" t="n">
        <f aca="false">(Q109+R109)/2</f>
        <v>2624.2707651293</v>
      </c>
      <c r="V109" s="7" t="s">
        <v>218</v>
      </c>
      <c r="W109" s="22" t="s">
        <v>213</v>
      </c>
      <c r="X109" s="7" t="s">
        <v>184</v>
      </c>
      <c r="Y109" s="7" t="s">
        <v>108</v>
      </c>
      <c r="Z109" s="7" t="s">
        <v>164</v>
      </c>
    </row>
    <row r="110" customFormat="false" ht="15" hidden="false" customHeight="false" outlineLevel="0" collapsed="false">
      <c r="A110" s="7" t="n">
        <v>109</v>
      </c>
      <c r="B110" s="7" t="s">
        <v>35</v>
      </c>
      <c r="C110" s="7" t="s">
        <v>36</v>
      </c>
      <c r="D110" s="7" t="s">
        <v>320</v>
      </c>
      <c r="E110" s="7" t="s">
        <v>359</v>
      </c>
      <c r="F110" s="20" t="n">
        <v>1500</v>
      </c>
      <c r="G110" s="20" t="n">
        <v>4000</v>
      </c>
      <c r="H110" s="20" t="n">
        <v>0</v>
      </c>
      <c r="I110" s="23" t="n">
        <f aca="false">Hypothèses!$B$13</f>
        <v>41.423588376433</v>
      </c>
      <c r="J110" s="23" t="n">
        <f aca="false">Hypothèses!$B$13</f>
        <v>41.423588376433</v>
      </c>
      <c r="K110" s="21" t="n">
        <f aca="false">H110</f>
        <v>0</v>
      </c>
      <c r="L110" s="7" t="s">
        <v>106</v>
      </c>
      <c r="M110" s="8" t="n">
        <f aca="false">F110+12*H110+I110</f>
        <v>1541.42358837643</v>
      </c>
      <c r="N110" s="8" t="n">
        <f aca="false">G110+12*H110+I110</f>
        <v>4041.42358837643</v>
      </c>
      <c r="O110" s="8" t="n">
        <f aca="false">M110+12*H110+J110</f>
        <v>1582.84717675287</v>
      </c>
      <c r="P110" s="8" t="n">
        <f aca="false">N110+12*H110+J110</f>
        <v>4082.84717675287</v>
      </c>
      <c r="Q110" s="8" t="n">
        <f aca="false">O110+12*K110+J110</f>
        <v>1624.2707651293</v>
      </c>
      <c r="R110" s="8" t="n">
        <f aca="false">P110+12*K110+J110</f>
        <v>4124.2707651293</v>
      </c>
      <c r="S110" s="8" t="n">
        <f aca="false">(M110+N110)/2</f>
        <v>2791.42358837643</v>
      </c>
      <c r="T110" s="8" t="n">
        <f aca="false">(O110+P110)/2</f>
        <v>2832.84717675287</v>
      </c>
      <c r="U110" s="8" t="n">
        <f aca="false">(Q110+R110)/2</f>
        <v>2874.2707651293</v>
      </c>
      <c r="V110" s="7" t="s">
        <v>322</v>
      </c>
      <c r="W110" s="22" t="s">
        <v>323</v>
      </c>
      <c r="X110" s="7" t="s">
        <v>184</v>
      </c>
      <c r="Y110" s="7" t="s">
        <v>108</v>
      </c>
      <c r="Z110" s="7" t="s">
        <v>109</v>
      </c>
    </row>
    <row r="111" customFormat="false" ht="15" hidden="false" customHeight="false" outlineLevel="0" collapsed="false">
      <c r="A111" s="7" t="n">
        <v>110</v>
      </c>
      <c r="B111" s="7" t="s">
        <v>35</v>
      </c>
      <c r="C111" s="7" t="s">
        <v>36</v>
      </c>
      <c r="D111" s="7" t="s">
        <v>224</v>
      </c>
      <c r="E111" s="7" t="s">
        <v>360</v>
      </c>
      <c r="F111" s="20" t="n">
        <v>4000</v>
      </c>
      <c r="G111" s="20" t="n">
        <v>10000</v>
      </c>
      <c r="H111" s="20" t="n">
        <v>0</v>
      </c>
      <c r="I111" s="23" t="n">
        <f aca="false">Hypothèses!$B$13</f>
        <v>41.423588376433</v>
      </c>
      <c r="J111" s="23" t="n">
        <f aca="false">Hypothèses!$B$13</f>
        <v>41.423588376433</v>
      </c>
      <c r="K111" s="21" t="n">
        <f aca="false">H111</f>
        <v>0</v>
      </c>
      <c r="L111" s="7" t="s">
        <v>106</v>
      </c>
      <c r="M111" s="8" t="n">
        <f aca="false">F111+12*H111+I111</f>
        <v>4041.42358837643</v>
      </c>
      <c r="N111" s="8" t="n">
        <f aca="false">G111+12*H111+I111</f>
        <v>10041.4235883764</v>
      </c>
      <c r="O111" s="8" t="n">
        <f aca="false">M111+12*H111+J111</f>
        <v>4082.84717675287</v>
      </c>
      <c r="P111" s="8" t="n">
        <f aca="false">N111+12*H111+J111</f>
        <v>10082.8471767529</v>
      </c>
      <c r="Q111" s="8" t="n">
        <f aca="false">O111+12*K111+J111</f>
        <v>4124.2707651293</v>
      </c>
      <c r="R111" s="8" t="n">
        <f aca="false">P111+12*K111+J111</f>
        <v>10124.2707651293</v>
      </c>
      <c r="S111" s="8" t="n">
        <f aca="false">(M111+N111)/2</f>
        <v>7041.42358837643</v>
      </c>
      <c r="T111" s="8" t="n">
        <f aca="false">(O111+P111)/2</f>
        <v>7082.84717675287</v>
      </c>
      <c r="U111" s="8" t="n">
        <f aca="false">(Q111+R111)/2</f>
        <v>7124.2707651293</v>
      </c>
      <c r="V111" s="7" t="s">
        <v>226</v>
      </c>
      <c r="W111" s="22" t="s">
        <v>192</v>
      </c>
      <c r="X111" s="7" t="s">
        <v>184</v>
      </c>
      <c r="Y111" s="7" t="s">
        <v>108</v>
      </c>
      <c r="Z111" s="7" t="s">
        <v>109</v>
      </c>
    </row>
    <row r="112" customFormat="false" ht="15" hidden="false" customHeight="false" outlineLevel="0" collapsed="false">
      <c r="A112" s="7" t="n">
        <v>111</v>
      </c>
      <c r="B112" s="7" t="s">
        <v>35</v>
      </c>
      <c r="C112" s="7" t="s">
        <v>36</v>
      </c>
      <c r="D112" s="7" t="s">
        <v>219</v>
      </c>
      <c r="E112" s="7" t="s">
        <v>297</v>
      </c>
      <c r="F112" s="20" t="n">
        <v>1500</v>
      </c>
      <c r="G112" s="20" t="n">
        <v>1500</v>
      </c>
      <c r="H112" s="20" t="n">
        <v>0</v>
      </c>
      <c r="I112" s="23" t="n">
        <f aca="false">Hypothèses!$B$13</f>
        <v>41.423588376433</v>
      </c>
      <c r="J112" s="23" t="n">
        <f aca="false">Hypothèses!$B$13</f>
        <v>41.423588376433</v>
      </c>
      <c r="K112" s="21" t="n">
        <f aca="false">H112</f>
        <v>0</v>
      </c>
      <c r="L112" s="7" t="s">
        <v>106</v>
      </c>
      <c r="M112" s="8" t="n">
        <f aca="false">F112+12*H112+I112</f>
        <v>1541.42358837643</v>
      </c>
      <c r="N112" s="8" t="n">
        <f aca="false">G112+12*H112+I112</f>
        <v>1541.42358837643</v>
      </c>
      <c r="O112" s="8" t="n">
        <f aca="false">M112+12*H112+J112</f>
        <v>1582.84717675287</v>
      </c>
      <c r="P112" s="8" t="n">
        <f aca="false">N112+12*H112+J112</f>
        <v>1582.84717675287</v>
      </c>
      <c r="Q112" s="8" t="n">
        <f aca="false">O112+12*K112+J112</f>
        <v>1624.2707651293</v>
      </c>
      <c r="R112" s="8" t="n">
        <f aca="false">P112+12*K112+J112</f>
        <v>1624.2707651293</v>
      </c>
      <c r="S112" s="8" t="n">
        <f aca="false">(M112+N112)/2</f>
        <v>1541.42358837643</v>
      </c>
      <c r="T112" s="8" t="n">
        <f aca="false">(O112+P112)/2</f>
        <v>1582.84717675287</v>
      </c>
      <c r="U112" s="8" t="n">
        <f aca="false">(Q112+R112)/2</f>
        <v>1624.2707651293</v>
      </c>
      <c r="V112" s="7" t="s">
        <v>298</v>
      </c>
      <c r="W112" s="22" t="s">
        <v>171</v>
      </c>
      <c r="X112" s="7" t="s">
        <v>184</v>
      </c>
      <c r="Y112" s="7" t="s">
        <v>108</v>
      </c>
      <c r="Z112" s="7" t="s">
        <v>109</v>
      </c>
    </row>
    <row r="113" customFormat="false" ht="15" hidden="false" customHeight="false" outlineLevel="0" collapsed="false">
      <c r="A113" s="7" t="n">
        <v>112</v>
      </c>
      <c r="B113" s="7" t="s">
        <v>35</v>
      </c>
      <c r="C113" s="7" t="s">
        <v>36</v>
      </c>
      <c r="D113" s="7" t="s">
        <v>346</v>
      </c>
      <c r="E113" s="7" t="s">
        <v>361</v>
      </c>
      <c r="F113" s="20" t="n">
        <v>5000</v>
      </c>
      <c r="G113" s="20" t="n">
        <v>8000</v>
      </c>
      <c r="H113" s="20" t="n">
        <v>0</v>
      </c>
      <c r="I113" s="23" t="n">
        <f aca="false">Hypothèses!$B$13</f>
        <v>41.423588376433</v>
      </c>
      <c r="J113" s="23" t="n">
        <f aca="false">Hypothèses!$B$13</f>
        <v>41.423588376433</v>
      </c>
      <c r="K113" s="21" t="n">
        <f aca="false">H113</f>
        <v>0</v>
      </c>
      <c r="L113" s="7" t="s">
        <v>106</v>
      </c>
      <c r="M113" s="8" t="n">
        <f aca="false">F113+12*H113+I113</f>
        <v>5041.42358837643</v>
      </c>
      <c r="N113" s="8" t="n">
        <f aca="false">G113+12*H113+I113</f>
        <v>8041.42358837643</v>
      </c>
      <c r="O113" s="8" t="n">
        <f aca="false">M113+12*H113+J113</f>
        <v>5082.84717675287</v>
      </c>
      <c r="P113" s="8" t="n">
        <f aca="false">N113+12*H113+J113</f>
        <v>8082.84717675287</v>
      </c>
      <c r="Q113" s="8" t="n">
        <f aca="false">O113+12*K113+J113</f>
        <v>5124.2707651293</v>
      </c>
      <c r="R113" s="8" t="n">
        <f aca="false">P113+12*K113+J113</f>
        <v>8124.2707651293</v>
      </c>
      <c r="S113" s="8" t="n">
        <f aca="false">(M113+N113)/2</f>
        <v>6541.42358837643</v>
      </c>
      <c r="T113" s="8" t="n">
        <f aca="false">(O113+P113)/2</f>
        <v>6582.84717675287</v>
      </c>
      <c r="U113" s="8" t="n">
        <f aca="false">(Q113+R113)/2</f>
        <v>6624.2707651293</v>
      </c>
      <c r="V113" s="7" t="s">
        <v>362</v>
      </c>
      <c r="W113" s="22" t="s">
        <v>349</v>
      </c>
      <c r="X113" s="7" t="s">
        <v>350</v>
      </c>
      <c r="Y113" s="7" t="s">
        <v>108</v>
      </c>
      <c r="Z113" s="7" t="s">
        <v>109</v>
      </c>
    </row>
    <row r="114" customFormat="false" ht="15" hidden="false" customHeight="false" outlineLevel="0" collapsed="false">
      <c r="A114" s="7" t="n">
        <v>113</v>
      </c>
      <c r="B114" s="7" t="s">
        <v>35</v>
      </c>
      <c r="C114" s="7" t="s">
        <v>36</v>
      </c>
      <c r="D114" s="7" t="s">
        <v>294</v>
      </c>
      <c r="E114" s="7" t="s">
        <v>363</v>
      </c>
      <c r="F114" s="20" t="n">
        <v>5000</v>
      </c>
      <c r="G114" s="20" t="n">
        <v>15000</v>
      </c>
      <c r="H114" s="20" t="n">
        <v>0</v>
      </c>
      <c r="I114" s="23" t="n">
        <f aca="false">Hypothèses!$B$13</f>
        <v>41.423588376433</v>
      </c>
      <c r="J114" s="23" t="n">
        <f aca="false">Hypothèses!$B$13</f>
        <v>41.423588376433</v>
      </c>
      <c r="K114" s="21" t="n">
        <f aca="false">H114</f>
        <v>0</v>
      </c>
      <c r="L114" s="7" t="s">
        <v>106</v>
      </c>
      <c r="M114" s="8" t="n">
        <f aca="false">F114+12*H114+I114</f>
        <v>5041.42358837643</v>
      </c>
      <c r="N114" s="8" t="n">
        <f aca="false">G114+12*H114+I114</f>
        <v>15041.4235883764</v>
      </c>
      <c r="O114" s="8" t="n">
        <f aca="false">M114+12*H114+J114</f>
        <v>5082.84717675287</v>
      </c>
      <c r="P114" s="8" t="n">
        <f aca="false">N114+12*H114+J114</f>
        <v>15082.8471767529</v>
      </c>
      <c r="Q114" s="8" t="n">
        <f aca="false">O114+12*K114+J114</f>
        <v>5124.2707651293</v>
      </c>
      <c r="R114" s="8" t="n">
        <f aca="false">P114+12*K114+J114</f>
        <v>15124.2707651293</v>
      </c>
      <c r="S114" s="8" t="n">
        <f aca="false">(M114+N114)/2</f>
        <v>10041.4235883764</v>
      </c>
      <c r="T114" s="8" t="n">
        <f aca="false">(O114+P114)/2</f>
        <v>10082.8471767529</v>
      </c>
      <c r="U114" s="8" t="n">
        <f aca="false">(Q114+R114)/2</f>
        <v>10124.2707651293</v>
      </c>
      <c r="V114" s="7" t="s">
        <v>218</v>
      </c>
      <c r="W114" s="22" t="s">
        <v>196</v>
      </c>
      <c r="X114" s="7" t="s">
        <v>184</v>
      </c>
      <c r="Y114" s="7" t="s">
        <v>108</v>
      </c>
      <c r="Z114" s="7" t="s">
        <v>109</v>
      </c>
    </row>
    <row r="115" customFormat="false" ht="15" hidden="false" customHeight="false" outlineLevel="0" collapsed="false">
      <c r="A115" s="7" t="n">
        <v>114</v>
      </c>
      <c r="B115" s="7" t="s">
        <v>35</v>
      </c>
      <c r="C115" s="7" t="s">
        <v>36</v>
      </c>
      <c r="D115" s="7" t="s">
        <v>294</v>
      </c>
      <c r="E115" s="7" t="s">
        <v>364</v>
      </c>
      <c r="F115" s="20" t="n">
        <v>20000</v>
      </c>
      <c r="G115" s="20" t="n">
        <v>20000</v>
      </c>
      <c r="H115" s="20" t="n">
        <v>0</v>
      </c>
      <c r="I115" s="23" t="n">
        <f aca="false">Hypothèses!$B$13</f>
        <v>41.423588376433</v>
      </c>
      <c r="J115" s="23" t="n">
        <f aca="false">Hypothèses!$B$13</f>
        <v>41.423588376433</v>
      </c>
      <c r="K115" s="21" t="n">
        <f aca="false">H115</f>
        <v>0</v>
      </c>
      <c r="L115" s="7" t="s">
        <v>106</v>
      </c>
      <c r="M115" s="8" t="n">
        <f aca="false">F115+12*H115+I115</f>
        <v>20041.4235883764</v>
      </c>
      <c r="N115" s="8" t="n">
        <f aca="false">G115+12*H115+I115</f>
        <v>20041.4235883764</v>
      </c>
      <c r="O115" s="8" t="n">
        <f aca="false">M115+12*H115+J115</f>
        <v>20082.8471767529</v>
      </c>
      <c r="P115" s="8" t="n">
        <f aca="false">N115+12*H115+J115</f>
        <v>20082.8471767529</v>
      </c>
      <c r="Q115" s="8" t="n">
        <f aca="false">O115+12*K115+J115</f>
        <v>20124.2707651293</v>
      </c>
      <c r="R115" s="8" t="n">
        <f aca="false">P115+12*K115+J115</f>
        <v>20124.2707651293</v>
      </c>
      <c r="S115" s="8" t="n">
        <f aca="false">(M115+N115)/2</f>
        <v>20041.4235883764</v>
      </c>
      <c r="T115" s="8" t="n">
        <f aca="false">(O115+P115)/2</f>
        <v>20082.8471767529</v>
      </c>
      <c r="U115" s="8" t="n">
        <f aca="false">(Q115+R115)/2</f>
        <v>20124.2707651293</v>
      </c>
      <c r="V115" s="7" t="s">
        <v>365</v>
      </c>
      <c r="W115" s="22" t="s">
        <v>196</v>
      </c>
      <c r="X115" s="7" t="s">
        <v>184</v>
      </c>
      <c r="Y115" s="7" t="s">
        <v>108</v>
      </c>
      <c r="Z115" s="7" t="s">
        <v>109</v>
      </c>
    </row>
    <row r="116" customFormat="false" ht="15" hidden="false" customHeight="false" outlineLevel="0" collapsed="false">
      <c r="A116" s="15" t="n">
        <v>115</v>
      </c>
      <c r="B116" s="15" t="s">
        <v>31</v>
      </c>
      <c r="C116" s="15" t="s">
        <v>37</v>
      </c>
      <c r="D116" s="15" t="s">
        <v>31</v>
      </c>
      <c r="E116" s="15" t="s">
        <v>37</v>
      </c>
      <c r="F116" s="16" t="n">
        <v>4390</v>
      </c>
      <c r="G116" s="16" t="n">
        <v>4390</v>
      </c>
      <c r="H116" s="16" t="n">
        <v>0</v>
      </c>
      <c r="I116" s="17" t="n">
        <f aca="false">Hypothèses!$B$8+Hypothèses!$B$12</f>
        <v>296.475574513463</v>
      </c>
      <c r="J116" s="17" t="n">
        <f aca="false">Hypothèses!$B$8+Hypothèses!$B$10+Hypothèses!$B$12</f>
        <v>308.019162889896</v>
      </c>
      <c r="K116" s="18" t="n">
        <f aca="false">H116</f>
        <v>0</v>
      </c>
      <c r="L116" s="15" t="s">
        <v>104</v>
      </c>
      <c r="M116" s="19" t="n">
        <f aca="false">F116+12*H116+I116</f>
        <v>4686.47557451346</v>
      </c>
      <c r="N116" s="19" t="n">
        <f aca="false">G116+12*H116+I116</f>
        <v>4686.47557451346</v>
      </c>
      <c r="O116" s="19" t="n">
        <f aca="false">M116+12*H116+J116</f>
        <v>4994.49473740336</v>
      </c>
      <c r="P116" s="19" t="n">
        <f aca="false">N116+12*H116+J116</f>
        <v>4994.49473740336</v>
      </c>
      <c r="Q116" s="19" t="n">
        <f aca="false">O116+12*K116+J116</f>
        <v>5302.51390029326</v>
      </c>
      <c r="R116" s="19" t="n">
        <f aca="false">P116+12*K116+J116</f>
        <v>5302.51390029326</v>
      </c>
      <c r="S116" s="19" t="n">
        <f aca="false">(M116+N116)/2</f>
        <v>4686.47557451346</v>
      </c>
      <c r="T116" s="19" t="n">
        <f aca="false">(O116+P116)/2</f>
        <v>4994.49473740336</v>
      </c>
      <c r="U116" s="19" t="n">
        <f aca="false">(Q116+R116)/2</f>
        <v>5302.51390029326</v>
      </c>
      <c r="V116" s="15" t="s">
        <v>366</v>
      </c>
      <c r="W116" s="15" t="s">
        <v>106</v>
      </c>
      <c r="X116" s="15" t="s">
        <v>107</v>
      </c>
      <c r="Y116" s="15" t="s">
        <v>108</v>
      </c>
      <c r="Z116" s="15" t="s">
        <v>109</v>
      </c>
    </row>
    <row r="117" customFormat="false" ht="15" hidden="false" customHeight="false" outlineLevel="0" collapsed="false">
      <c r="A117" s="7" t="n">
        <v>116</v>
      </c>
      <c r="B117" s="7" t="s">
        <v>32</v>
      </c>
      <c r="C117" s="7" t="s">
        <v>37</v>
      </c>
      <c r="D117" s="7" t="s">
        <v>110</v>
      </c>
      <c r="E117" s="7" t="s">
        <v>301</v>
      </c>
      <c r="F117" s="20" t="n">
        <v>0</v>
      </c>
      <c r="G117" s="20" t="n">
        <v>0</v>
      </c>
      <c r="H117" s="21" t="n">
        <f aca="false">40.8/1.2</f>
        <v>34</v>
      </c>
      <c r="I117" s="20" t="n">
        <v>0</v>
      </c>
      <c r="J117" s="21" t="n">
        <f aca="false">14.95/1.2</f>
        <v>12.4583333333333</v>
      </c>
      <c r="K117" s="21" t="n">
        <f aca="false">H117</f>
        <v>34</v>
      </c>
      <c r="L117" s="7" t="s">
        <v>112</v>
      </c>
      <c r="M117" s="8" t="n">
        <f aca="false">F117+12*H117+I117</f>
        <v>408</v>
      </c>
      <c r="N117" s="8" t="n">
        <f aca="false">G117+12*H117+I117</f>
        <v>408</v>
      </c>
      <c r="O117" s="8" t="n">
        <f aca="false">M117+12*H117+J117</f>
        <v>828.458333333333</v>
      </c>
      <c r="P117" s="8" t="n">
        <f aca="false">N117+12*H117+J117</f>
        <v>828.458333333333</v>
      </c>
      <c r="Q117" s="8" t="n">
        <f aca="false">O117+12*K117+J117</f>
        <v>1248.91666666667</v>
      </c>
      <c r="R117" s="8" t="n">
        <f aca="false">P117+12*K117+J117</f>
        <v>1248.91666666667</v>
      </c>
      <c r="S117" s="8" t="n">
        <f aca="false">(M117+N117)/2</f>
        <v>408</v>
      </c>
      <c r="T117" s="8" t="n">
        <f aca="false">(O117+P117)/2</f>
        <v>828.458333333333</v>
      </c>
      <c r="U117" s="8" t="n">
        <f aca="false">(Q117+R117)/2</f>
        <v>1248.91666666667</v>
      </c>
      <c r="V117" s="7" t="s">
        <v>113</v>
      </c>
      <c r="W117" s="22" t="s">
        <v>114</v>
      </c>
      <c r="X117" s="7" t="s">
        <v>115</v>
      </c>
      <c r="Y117" s="7" t="s">
        <v>108</v>
      </c>
      <c r="Z117" s="7" t="s">
        <v>116</v>
      </c>
    </row>
    <row r="118" customFormat="false" ht="15" hidden="false" customHeight="false" outlineLevel="0" collapsed="false">
      <c r="A118" s="7" t="n">
        <v>117</v>
      </c>
      <c r="B118" s="7" t="s">
        <v>32</v>
      </c>
      <c r="C118" s="7" t="s">
        <v>37</v>
      </c>
      <c r="D118" s="7" t="s">
        <v>117</v>
      </c>
      <c r="E118" s="7" t="s">
        <v>367</v>
      </c>
      <c r="F118" s="20" t="n">
        <v>0</v>
      </c>
      <c r="G118" s="20" t="n">
        <v>0</v>
      </c>
      <c r="H118" s="21" t="n">
        <f aca="false">24</f>
        <v>24</v>
      </c>
      <c r="I118" s="20" t="n">
        <v>0</v>
      </c>
      <c r="J118" s="23" t="n">
        <f aca="false">Hypothèses!$B$10</f>
        <v>11.543588376433</v>
      </c>
      <c r="K118" s="21" t="n">
        <f aca="false">H118</f>
        <v>24</v>
      </c>
      <c r="L118" s="7" t="s">
        <v>112</v>
      </c>
      <c r="M118" s="8" t="n">
        <f aca="false">F118+12*H118+I118</f>
        <v>288</v>
      </c>
      <c r="N118" s="8" t="n">
        <f aca="false">G118+12*H118+I118</f>
        <v>288</v>
      </c>
      <c r="O118" s="8" t="n">
        <f aca="false">M118+12*H118+J118</f>
        <v>587.543588376433</v>
      </c>
      <c r="P118" s="8" t="n">
        <f aca="false">N118+12*H118+J118</f>
        <v>587.543588376433</v>
      </c>
      <c r="Q118" s="8" t="n">
        <f aca="false">O118+12*K118+J118</f>
        <v>887.087176752866</v>
      </c>
      <c r="R118" s="8" t="n">
        <f aca="false">P118+12*K118+J118</f>
        <v>887.087176752866</v>
      </c>
      <c r="S118" s="8" t="n">
        <f aca="false">(M118+N118)/2</f>
        <v>288</v>
      </c>
      <c r="T118" s="8" t="n">
        <f aca="false">(O118+P118)/2</f>
        <v>587.543588376433</v>
      </c>
      <c r="U118" s="8" t="n">
        <f aca="false">(Q118+R118)/2</f>
        <v>887.087176752866</v>
      </c>
      <c r="V118" s="7" t="s">
        <v>119</v>
      </c>
      <c r="W118" s="22" t="s">
        <v>120</v>
      </c>
      <c r="X118" s="7" t="s">
        <v>121</v>
      </c>
      <c r="Y118" s="7" t="s">
        <v>108</v>
      </c>
      <c r="Z118" s="7" t="s">
        <v>116</v>
      </c>
    </row>
    <row r="119" customFormat="false" ht="15" hidden="false" customHeight="false" outlineLevel="0" collapsed="false">
      <c r="A119" s="7" t="n">
        <v>118</v>
      </c>
      <c r="B119" s="7" t="s">
        <v>32</v>
      </c>
      <c r="C119" s="7" t="s">
        <v>37</v>
      </c>
      <c r="D119" s="7" t="s">
        <v>125</v>
      </c>
      <c r="E119" s="7" t="s">
        <v>301</v>
      </c>
      <c r="F119" s="20" t="n">
        <v>0</v>
      </c>
      <c r="G119" s="20" t="n">
        <v>0</v>
      </c>
      <c r="H119" s="21" t="n">
        <f aca="false">20</f>
        <v>20</v>
      </c>
      <c r="I119" s="20" t="n">
        <v>0</v>
      </c>
      <c r="J119" s="21" t="n">
        <f aca="false">20</f>
        <v>20</v>
      </c>
      <c r="K119" s="21" t="n">
        <f aca="false">H119</f>
        <v>20</v>
      </c>
      <c r="L119" s="7" t="s">
        <v>112</v>
      </c>
      <c r="M119" s="8" t="n">
        <f aca="false">F119+12*H119+I119</f>
        <v>240</v>
      </c>
      <c r="N119" s="8" t="n">
        <f aca="false">G119+12*H119+I119</f>
        <v>240</v>
      </c>
      <c r="O119" s="8" t="n">
        <f aca="false">M119+12*H119+J119</f>
        <v>500</v>
      </c>
      <c r="P119" s="8" t="n">
        <f aca="false">N119+12*H119+J119</f>
        <v>500</v>
      </c>
      <c r="Q119" s="8" t="n">
        <f aca="false">O119+12*K119+J119</f>
        <v>760</v>
      </c>
      <c r="R119" s="8" t="n">
        <f aca="false">P119+12*K119+J119</f>
        <v>760</v>
      </c>
      <c r="S119" s="8" t="n">
        <f aca="false">(M119+N119)/2</f>
        <v>240</v>
      </c>
      <c r="T119" s="8" t="n">
        <f aca="false">(O119+P119)/2</f>
        <v>500</v>
      </c>
      <c r="U119" s="8" t="n">
        <f aca="false">(Q119+R119)/2</f>
        <v>760</v>
      </c>
      <c r="V119" s="7" t="s">
        <v>127</v>
      </c>
      <c r="W119" s="22" t="s">
        <v>128</v>
      </c>
      <c r="X119" s="7" t="s">
        <v>129</v>
      </c>
      <c r="Y119" s="7" t="s">
        <v>108</v>
      </c>
      <c r="Z119" s="7" t="s">
        <v>116</v>
      </c>
    </row>
    <row r="120" customFormat="false" ht="15" hidden="false" customHeight="false" outlineLevel="0" collapsed="false">
      <c r="A120" s="7" t="n">
        <v>119</v>
      </c>
      <c r="B120" s="7" t="s">
        <v>32</v>
      </c>
      <c r="C120" s="7" t="s">
        <v>37</v>
      </c>
      <c r="D120" s="7" t="s">
        <v>130</v>
      </c>
      <c r="E120" s="7" t="s">
        <v>368</v>
      </c>
      <c r="F120" s="20" t="n">
        <v>0</v>
      </c>
      <c r="G120" s="20" t="n">
        <v>0</v>
      </c>
      <c r="H120" s="23" t="n">
        <f aca="false">45/Hypothèses!$B$4</f>
        <v>39.9893361770195</v>
      </c>
      <c r="I120" s="20" t="n">
        <v>0</v>
      </c>
      <c r="J120" s="23" t="n">
        <f aca="false">Hypothèses!$B$10</f>
        <v>11.543588376433</v>
      </c>
      <c r="K120" s="21" t="n">
        <f aca="false">H120</f>
        <v>39.9893361770195</v>
      </c>
      <c r="L120" s="7" t="s">
        <v>112</v>
      </c>
      <c r="M120" s="8" t="n">
        <f aca="false">F120+12*H120+I120</f>
        <v>479.872034124234</v>
      </c>
      <c r="N120" s="8" t="n">
        <f aca="false">G120+12*H120+I120</f>
        <v>479.872034124234</v>
      </c>
      <c r="O120" s="8" t="n">
        <f aca="false">M120+12*H120+J120</f>
        <v>971.2876566249</v>
      </c>
      <c r="P120" s="8" t="n">
        <f aca="false">N120+12*H120+J120</f>
        <v>971.2876566249</v>
      </c>
      <c r="Q120" s="8" t="n">
        <f aca="false">O120+12*K120+J120</f>
        <v>1462.70327912557</v>
      </c>
      <c r="R120" s="8" t="n">
        <f aca="false">P120+12*K120+J120</f>
        <v>1462.70327912557</v>
      </c>
      <c r="S120" s="8" t="n">
        <f aca="false">(M120+N120)/2</f>
        <v>479.872034124234</v>
      </c>
      <c r="T120" s="8" t="n">
        <f aca="false">(O120+P120)/2</f>
        <v>971.2876566249</v>
      </c>
      <c r="U120" s="8" t="n">
        <f aca="false">(Q120+R120)/2</f>
        <v>1462.70327912557</v>
      </c>
      <c r="V120" s="7" t="s">
        <v>132</v>
      </c>
      <c r="W120" s="22" t="s">
        <v>133</v>
      </c>
      <c r="X120" s="7" t="s">
        <v>134</v>
      </c>
      <c r="Y120" s="7" t="s">
        <v>108</v>
      </c>
      <c r="Z120" s="7" t="s">
        <v>116</v>
      </c>
    </row>
    <row r="121" customFormat="false" ht="15" hidden="false" customHeight="false" outlineLevel="0" collapsed="false">
      <c r="A121" s="7" t="n">
        <v>120</v>
      </c>
      <c r="B121" s="7" t="s">
        <v>32</v>
      </c>
      <c r="C121" s="7" t="s">
        <v>37</v>
      </c>
      <c r="D121" s="7" t="s">
        <v>135</v>
      </c>
      <c r="E121" s="7" t="s">
        <v>369</v>
      </c>
      <c r="F121" s="20" t="n">
        <v>0</v>
      </c>
      <c r="G121" s="20" t="n">
        <v>0</v>
      </c>
      <c r="H121" s="21" t="n">
        <f aca="false">16.79</f>
        <v>16.79</v>
      </c>
      <c r="I121" s="20" t="n">
        <v>0</v>
      </c>
      <c r="J121" s="23" t="n">
        <f aca="false">Hypothèses!$B$10</f>
        <v>11.543588376433</v>
      </c>
      <c r="K121" s="21" t="n">
        <f aca="false">H121</f>
        <v>16.79</v>
      </c>
      <c r="L121" s="7" t="s">
        <v>112</v>
      </c>
      <c r="M121" s="8" t="n">
        <f aca="false">F121+12*H121+I121</f>
        <v>201.48</v>
      </c>
      <c r="N121" s="8" t="n">
        <f aca="false">G121+12*H121+I121</f>
        <v>201.48</v>
      </c>
      <c r="O121" s="8" t="n">
        <f aca="false">M121+12*H121+J121</f>
        <v>414.503588376433</v>
      </c>
      <c r="P121" s="8" t="n">
        <f aca="false">N121+12*H121+J121</f>
        <v>414.503588376433</v>
      </c>
      <c r="Q121" s="8" t="n">
        <f aca="false">O121+12*K121+J121</f>
        <v>627.527176752866</v>
      </c>
      <c r="R121" s="8" t="n">
        <f aca="false">P121+12*K121+J121</f>
        <v>627.527176752866</v>
      </c>
      <c r="S121" s="8" t="n">
        <f aca="false">(M121+N121)/2</f>
        <v>201.48</v>
      </c>
      <c r="T121" s="8" t="n">
        <f aca="false">(O121+P121)/2</f>
        <v>414.503588376433</v>
      </c>
      <c r="U121" s="8" t="n">
        <f aca="false">(Q121+R121)/2</f>
        <v>627.527176752866</v>
      </c>
      <c r="V121" s="7" t="s">
        <v>137</v>
      </c>
      <c r="W121" s="22" t="s">
        <v>138</v>
      </c>
      <c r="X121" s="7" t="s">
        <v>139</v>
      </c>
      <c r="Y121" s="7" t="s">
        <v>108</v>
      </c>
      <c r="Z121" s="7" t="s">
        <v>116</v>
      </c>
    </row>
    <row r="122" customFormat="false" ht="15" hidden="false" customHeight="false" outlineLevel="0" collapsed="false">
      <c r="A122" s="7" t="n">
        <v>121</v>
      </c>
      <c r="B122" s="7" t="s">
        <v>32</v>
      </c>
      <c r="C122" s="7" t="s">
        <v>37</v>
      </c>
      <c r="D122" s="7" t="s">
        <v>140</v>
      </c>
      <c r="E122" s="7" t="s">
        <v>369</v>
      </c>
      <c r="F122" s="20" t="n">
        <v>0</v>
      </c>
      <c r="G122" s="20" t="n">
        <v>0</v>
      </c>
      <c r="H122" s="21" t="n">
        <f aca="false">24</f>
        <v>24</v>
      </c>
      <c r="I122" s="20" t="n">
        <v>0</v>
      </c>
      <c r="J122" s="23" t="n">
        <f aca="false">Hypothèses!$B$10</f>
        <v>11.543588376433</v>
      </c>
      <c r="K122" s="21" t="n">
        <f aca="false">H122</f>
        <v>24</v>
      </c>
      <c r="L122" s="7" t="s">
        <v>112</v>
      </c>
      <c r="M122" s="8" t="n">
        <f aca="false">F122+12*H122+I122</f>
        <v>288</v>
      </c>
      <c r="N122" s="8" t="n">
        <f aca="false">G122+12*H122+I122</f>
        <v>288</v>
      </c>
      <c r="O122" s="8" t="n">
        <f aca="false">M122+12*H122+J122</f>
        <v>587.543588376433</v>
      </c>
      <c r="P122" s="8" t="n">
        <f aca="false">N122+12*H122+J122</f>
        <v>587.543588376433</v>
      </c>
      <c r="Q122" s="8" t="n">
        <f aca="false">O122+12*K122+J122</f>
        <v>887.087176752866</v>
      </c>
      <c r="R122" s="8" t="n">
        <f aca="false">P122+12*K122+J122</f>
        <v>887.087176752866</v>
      </c>
      <c r="S122" s="8" t="n">
        <f aca="false">(M122+N122)/2</f>
        <v>288</v>
      </c>
      <c r="T122" s="8" t="n">
        <f aca="false">(O122+P122)/2</f>
        <v>587.543588376433</v>
      </c>
      <c r="U122" s="8" t="n">
        <f aca="false">(Q122+R122)/2</f>
        <v>887.087176752866</v>
      </c>
      <c r="V122" s="7" t="s">
        <v>137</v>
      </c>
      <c r="W122" s="22" t="s">
        <v>138</v>
      </c>
      <c r="X122" s="7" t="s">
        <v>139</v>
      </c>
      <c r="Y122" s="7" t="s">
        <v>108</v>
      </c>
      <c r="Z122" s="7" t="s">
        <v>116</v>
      </c>
    </row>
    <row r="123" customFormat="false" ht="15" hidden="false" customHeight="false" outlineLevel="0" collapsed="false">
      <c r="A123" s="7" t="n">
        <v>122</v>
      </c>
      <c r="B123" s="7" t="s">
        <v>32</v>
      </c>
      <c r="C123" s="7" t="s">
        <v>37</v>
      </c>
      <c r="D123" s="7" t="s">
        <v>141</v>
      </c>
      <c r="E123" s="7" t="s">
        <v>370</v>
      </c>
      <c r="F123" s="20" t="n">
        <v>0</v>
      </c>
      <c r="G123" s="20" t="n">
        <v>0</v>
      </c>
      <c r="H123" s="21" t="n">
        <f aca="false">20.8</f>
        <v>20.8</v>
      </c>
      <c r="I123" s="20" t="n">
        <v>0</v>
      </c>
      <c r="J123" s="23" t="n">
        <f aca="false">Hypothèses!$B$10</f>
        <v>11.543588376433</v>
      </c>
      <c r="K123" s="21" t="n">
        <f aca="false">H123</f>
        <v>20.8</v>
      </c>
      <c r="L123" s="7" t="s">
        <v>112</v>
      </c>
      <c r="M123" s="8" t="n">
        <f aca="false">F123+12*H123+I123</f>
        <v>249.6</v>
      </c>
      <c r="N123" s="8" t="n">
        <f aca="false">G123+12*H123+I123</f>
        <v>249.6</v>
      </c>
      <c r="O123" s="8" t="n">
        <f aca="false">M123+12*H123+J123</f>
        <v>510.743588376433</v>
      </c>
      <c r="P123" s="8" t="n">
        <f aca="false">N123+12*H123+J123</f>
        <v>510.743588376433</v>
      </c>
      <c r="Q123" s="8" t="n">
        <f aca="false">O123+12*K123+J123</f>
        <v>771.887176752866</v>
      </c>
      <c r="R123" s="8" t="n">
        <f aca="false">P123+12*K123+J123</f>
        <v>771.887176752866</v>
      </c>
      <c r="S123" s="8" t="n">
        <f aca="false">(M123+N123)/2</f>
        <v>249.6</v>
      </c>
      <c r="T123" s="8" t="n">
        <f aca="false">(O123+P123)/2</f>
        <v>510.743588376433</v>
      </c>
      <c r="U123" s="8" t="n">
        <f aca="false">(Q123+R123)/2</f>
        <v>771.887176752866</v>
      </c>
      <c r="V123" s="7" t="s">
        <v>137</v>
      </c>
      <c r="W123" s="22" t="s">
        <v>138</v>
      </c>
      <c r="X123" s="7" t="s">
        <v>139</v>
      </c>
      <c r="Y123" s="7" t="s">
        <v>108</v>
      </c>
      <c r="Z123" s="7" t="s">
        <v>116</v>
      </c>
    </row>
    <row r="124" customFormat="false" ht="15" hidden="false" customHeight="false" outlineLevel="0" collapsed="false">
      <c r="A124" s="7" t="n">
        <v>123</v>
      </c>
      <c r="B124" s="7" t="s">
        <v>32</v>
      </c>
      <c r="C124" s="7" t="s">
        <v>37</v>
      </c>
      <c r="D124" s="7" t="s">
        <v>145</v>
      </c>
      <c r="E124" s="7" t="s">
        <v>371</v>
      </c>
      <c r="F124" s="20" t="n">
        <v>0</v>
      </c>
      <c r="G124" s="20" t="n">
        <v>0</v>
      </c>
      <c r="H124" s="23" t="n">
        <f aca="false">12/Hypothèses!$B$4</f>
        <v>10.6638229805385</v>
      </c>
      <c r="I124" s="20" t="n">
        <v>0</v>
      </c>
      <c r="J124" s="23" t="n">
        <f aca="false">Hypothèses!$B$10</f>
        <v>11.543588376433</v>
      </c>
      <c r="K124" s="21" t="n">
        <f aca="false">H124</f>
        <v>10.6638229805385</v>
      </c>
      <c r="L124" s="7" t="s">
        <v>112</v>
      </c>
      <c r="M124" s="8" t="n">
        <f aca="false">F124+12*H124+I124</f>
        <v>127.965875766462</v>
      </c>
      <c r="N124" s="8" t="n">
        <f aca="false">G124+12*H124+I124</f>
        <v>127.965875766462</v>
      </c>
      <c r="O124" s="8" t="n">
        <f aca="false">M124+12*H124+J124</f>
        <v>267.475339909358</v>
      </c>
      <c r="P124" s="8" t="n">
        <f aca="false">N124+12*H124+J124</f>
        <v>267.475339909358</v>
      </c>
      <c r="Q124" s="8" t="n">
        <f aca="false">O124+12*K124+J124</f>
        <v>406.984804052253</v>
      </c>
      <c r="R124" s="8" t="n">
        <f aca="false">P124+12*K124+J124</f>
        <v>406.984804052253</v>
      </c>
      <c r="S124" s="8" t="n">
        <f aca="false">(M124+N124)/2</f>
        <v>127.965875766462</v>
      </c>
      <c r="T124" s="8" t="n">
        <f aca="false">(O124+P124)/2</f>
        <v>267.475339909358</v>
      </c>
      <c r="U124" s="8" t="n">
        <f aca="false">(Q124+R124)/2</f>
        <v>406.984804052253</v>
      </c>
      <c r="V124" s="7" t="s">
        <v>132</v>
      </c>
      <c r="W124" s="22" t="s">
        <v>138</v>
      </c>
      <c r="X124" s="7" t="s">
        <v>144</v>
      </c>
      <c r="Y124" s="7" t="s">
        <v>108</v>
      </c>
      <c r="Z124" s="7" t="s">
        <v>116</v>
      </c>
    </row>
    <row r="125" customFormat="false" ht="15" hidden="false" customHeight="false" outlineLevel="0" collapsed="false">
      <c r="A125" s="7" t="n">
        <v>124</v>
      </c>
      <c r="B125" s="7" t="s">
        <v>32</v>
      </c>
      <c r="C125" s="7" t="s">
        <v>37</v>
      </c>
      <c r="D125" s="7" t="s">
        <v>147</v>
      </c>
      <c r="E125" s="7" t="s">
        <v>372</v>
      </c>
      <c r="F125" s="20" t="n">
        <v>0</v>
      </c>
      <c r="G125" s="20" t="n">
        <v>0</v>
      </c>
      <c r="H125" s="23" t="n">
        <f aca="false">27.99/Hypothèses!$B$4</f>
        <v>24.8733671021061</v>
      </c>
      <c r="I125" s="20" t="n">
        <v>0</v>
      </c>
      <c r="J125" s="23" t="n">
        <f aca="false">Hypothèses!$B$10</f>
        <v>11.543588376433</v>
      </c>
      <c r="K125" s="21" t="n">
        <f aca="false">H125</f>
        <v>24.8733671021061</v>
      </c>
      <c r="L125" s="7" t="s">
        <v>112</v>
      </c>
      <c r="M125" s="8" t="n">
        <f aca="false">F125+12*H125+I125</f>
        <v>298.480405225273</v>
      </c>
      <c r="N125" s="8" t="n">
        <f aca="false">G125+12*H125+I125</f>
        <v>298.480405225273</v>
      </c>
      <c r="O125" s="8" t="n">
        <f aca="false">M125+12*H125+J125</f>
        <v>608.50439882698</v>
      </c>
      <c r="P125" s="8" t="n">
        <f aca="false">N125+12*H125+J125</f>
        <v>608.50439882698</v>
      </c>
      <c r="Q125" s="8" t="n">
        <f aca="false">O125+12*K125+J125</f>
        <v>918.528392428686</v>
      </c>
      <c r="R125" s="8" t="n">
        <f aca="false">P125+12*K125+J125</f>
        <v>918.528392428686</v>
      </c>
      <c r="S125" s="8" t="n">
        <f aca="false">(M125+N125)/2</f>
        <v>298.480405225273</v>
      </c>
      <c r="T125" s="8" t="n">
        <f aca="false">(O125+P125)/2</f>
        <v>608.50439882698</v>
      </c>
      <c r="U125" s="8" t="n">
        <f aca="false">(Q125+R125)/2</f>
        <v>918.528392428686</v>
      </c>
      <c r="V125" s="7" t="s">
        <v>132</v>
      </c>
      <c r="W125" s="22" t="s">
        <v>138</v>
      </c>
      <c r="X125" s="7" t="s">
        <v>144</v>
      </c>
      <c r="Y125" s="7" t="s">
        <v>108</v>
      </c>
      <c r="Z125" s="7" t="s">
        <v>116</v>
      </c>
    </row>
    <row r="126" customFormat="false" ht="15" hidden="false" customHeight="false" outlineLevel="0" collapsed="false">
      <c r="A126" s="7" t="n">
        <v>125</v>
      </c>
      <c r="B126" s="7" t="s">
        <v>32</v>
      </c>
      <c r="C126" s="7" t="s">
        <v>37</v>
      </c>
      <c r="D126" s="7" t="s">
        <v>150</v>
      </c>
      <c r="E126" s="7" t="s">
        <v>301</v>
      </c>
      <c r="F126" s="20" t="n">
        <v>0</v>
      </c>
      <c r="G126" s="20" t="n">
        <v>0</v>
      </c>
      <c r="H126" s="23" t="n">
        <f aca="false">26/Hypothèses!$B$4</f>
        <v>23.1049497911668</v>
      </c>
      <c r="I126" s="20" t="n">
        <v>0</v>
      </c>
      <c r="J126" s="23" t="n">
        <f aca="false">Hypothèses!$B$10</f>
        <v>11.543588376433</v>
      </c>
      <c r="K126" s="21" t="n">
        <f aca="false">H126</f>
        <v>23.1049497911668</v>
      </c>
      <c r="L126" s="7" t="s">
        <v>112</v>
      </c>
      <c r="M126" s="8" t="n">
        <f aca="false">F126+12*H126+I126</f>
        <v>277.259397494002</v>
      </c>
      <c r="N126" s="8" t="n">
        <f aca="false">G126+12*H126+I126</f>
        <v>277.259397494002</v>
      </c>
      <c r="O126" s="8" t="n">
        <f aca="false">M126+12*H126+J126</f>
        <v>566.062383364436</v>
      </c>
      <c r="P126" s="8" t="n">
        <f aca="false">N126+12*H126+J126</f>
        <v>566.062383364436</v>
      </c>
      <c r="Q126" s="8" t="n">
        <f aca="false">O126+12*K126+J126</f>
        <v>854.865369234871</v>
      </c>
      <c r="R126" s="8" t="n">
        <f aca="false">P126+12*K126+J126</f>
        <v>854.865369234871</v>
      </c>
      <c r="S126" s="8" t="n">
        <f aca="false">(M126+N126)/2</f>
        <v>277.259397494002</v>
      </c>
      <c r="T126" s="8" t="n">
        <f aca="false">(O126+P126)/2</f>
        <v>566.062383364436</v>
      </c>
      <c r="U126" s="8" t="n">
        <f aca="false">(Q126+R126)/2</f>
        <v>854.865369234871</v>
      </c>
      <c r="V126" s="7" t="s">
        <v>132</v>
      </c>
      <c r="W126" s="22" t="s">
        <v>138</v>
      </c>
      <c r="X126" s="7" t="s">
        <v>144</v>
      </c>
      <c r="Y126" s="7" t="s">
        <v>108</v>
      </c>
      <c r="Z126" s="7" t="s">
        <v>116</v>
      </c>
    </row>
    <row r="127" customFormat="false" ht="15" hidden="false" customHeight="false" outlineLevel="0" collapsed="false">
      <c r="A127" s="7" t="n">
        <v>126</v>
      </c>
      <c r="B127" s="7" t="s">
        <v>32</v>
      </c>
      <c r="C127" s="7" t="s">
        <v>37</v>
      </c>
      <c r="D127" s="7" t="s">
        <v>151</v>
      </c>
      <c r="E127" s="7" t="s">
        <v>152</v>
      </c>
      <c r="F127" s="20" t="n">
        <v>0</v>
      </c>
      <c r="G127" s="20" t="n">
        <v>0</v>
      </c>
      <c r="H127" s="21" t="n">
        <f aca="false">2.69</f>
        <v>2.69</v>
      </c>
      <c r="I127" s="20" t="n">
        <v>0</v>
      </c>
      <c r="J127" s="23" t="n">
        <f aca="false">Hypothèses!$B$10</f>
        <v>11.543588376433</v>
      </c>
      <c r="K127" s="21" t="n">
        <f aca="false">H127</f>
        <v>2.69</v>
      </c>
      <c r="L127" s="7" t="s">
        <v>112</v>
      </c>
      <c r="M127" s="8" t="n">
        <f aca="false">F127+12*H127+I127</f>
        <v>32.28</v>
      </c>
      <c r="N127" s="8" t="n">
        <f aca="false">G127+12*H127+I127</f>
        <v>32.28</v>
      </c>
      <c r="O127" s="8" t="n">
        <f aca="false">M127+12*H127+J127</f>
        <v>76.103588376433</v>
      </c>
      <c r="P127" s="8" t="n">
        <f aca="false">N127+12*H127+J127</f>
        <v>76.103588376433</v>
      </c>
      <c r="Q127" s="8" t="n">
        <f aca="false">O127+12*K127+J127</f>
        <v>119.927176752866</v>
      </c>
      <c r="R127" s="8" t="n">
        <f aca="false">P127+12*K127+J127</f>
        <v>119.927176752866</v>
      </c>
      <c r="S127" s="8" t="n">
        <f aca="false">(M127+N127)/2</f>
        <v>32.28</v>
      </c>
      <c r="T127" s="8" t="n">
        <f aca="false">(O127+P127)/2</f>
        <v>76.103588376433</v>
      </c>
      <c r="U127" s="8" t="n">
        <f aca="false">(Q127+R127)/2</f>
        <v>119.927176752866</v>
      </c>
      <c r="V127" s="7" t="s">
        <v>153</v>
      </c>
      <c r="W127" s="22" t="s">
        <v>154</v>
      </c>
      <c r="X127" s="7" t="s">
        <v>155</v>
      </c>
      <c r="Y127" s="7" t="s">
        <v>108</v>
      </c>
      <c r="Z127" s="7" t="s">
        <v>116</v>
      </c>
    </row>
    <row r="128" customFormat="false" ht="15" hidden="false" customHeight="false" outlineLevel="0" collapsed="false">
      <c r="A128" s="7" t="n">
        <v>127</v>
      </c>
      <c r="B128" s="7" t="s">
        <v>32</v>
      </c>
      <c r="C128" s="7" t="s">
        <v>37</v>
      </c>
      <c r="D128" s="7" t="s">
        <v>373</v>
      </c>
      <c r="E128" s="7" t="s">
        <v>374</v>
      </c>
      <c r="F128" s="20" t="n">
        <v>0</v>
      </c>
      <c r="G128" s="20" t="n">
        <v>0</v>
      </c>
      <c r="H128" s="23" t="n">
        <f aca="false">29/Hypothèses!$B$4</f>
        <v>25.7709055363014</v>
      </c>
      <c r="I128" s="23" t="n">
        <f aca="false">Hypothèses!$B$10</f>
        <v>11.543588376433</v>
      </c>
      <c r="J128" s="23" t="n">
        <f aca="false">Hypothèses!$B$10</f>
        <v>11.543588376433</v>
      </c>
      <c r="K128" s="21" t="n">
        <f aca="false">H128</f>
        <v>25.7709055363014</v>
      </c>
      <c r="L128" s="7" t="s">
        <v>112</v>
      </c>
      <c r="M128" s="8" t="n">
        <f aca="false">F128+12*H128+I128</f>
        <v>320.79445481205</v>
      </c>
      <c r="N128" s="8" t="n">
        <f aca="false">G128+12*H128+I128</f>
        <v>320.79445481205</v>
      </c>
      <c r="O128" s="8" t="n">
        <f aca="false">M128+12*H128+J128</f>
        <v>641.5889096241</v>
      </c>
      <c r="P128" s="8" t="n">
        <f aca="false">N128+12*H128+J128</f>
        <v>641.5889096241</v>
      </c>
      <c r="Q128" s="8" t="n">
        <f aca="false">O128+12*K128+J128</f>
        <v>962.38336443615</v>
      </c>
      <c r="R128" s="8" t="n">
        <f aca="false">P128+12*K128+J128</f>
        <v>962.38336443615</v>
      </c>
      <c r="S128" s="8" t="n">
        <f aca="false">(M128+N128)/2</f>
        <v>320.79445481205</v>
      </c>
      <c r="T128" s="8" t="n">
        <f aca="false">(O128+P128)/2</f>
        <v>641.5889096241</v>
      </c>
      <c r="U128" s="8" t="n">
        <f aca="false">(Q128+R128)/2</f>
        <v>962.38336443615</v>
      </c>
      <c r="V128" s="7" t="s">
        <v>375</v>
      </c>
      <c r="W128" s="22" t="s">
        <v>376</v>
      </c>
      <c r="X128" s="7" t="s">
        <v>377</v>
      </c>
      <c r="Y128" s="7" t="s">
        <v>108</v>
      </c>
      <c r="Z128" s="7" t="s">
        <v>116</v>
      </c>
    </row>
    <row r="129" customFormat="false" ht="15" hidden="false" customHeight="false" outlineLevel="0" collapsed="false">
      <c r="A129" s="7" t="n">
        <v>128</v>
      </c>
      <c r="B129" s="7" t="s">
        <v>32</v>
      </c>
      <c r="C129" s="7" t="s">
        <v>37</v>
      </c>
      <c r="D129" s="7" t="s">
        <v>373</v>
      </c>
      <c r="E129" s="7" t="s">
        <v>378</v>
      </c>
      <c r="F129" s="20" t="n">
        <v>0</v>
      </c>
      <c r="G129" s="20" t="n">
        <v>0</v>
      </c>
      <c r="H129" s="23" t="n">
        <f aca="false">79/Hypothèses!$B$4</f>
        <v>70.2035012885453</v>
      </c>
      <c r="I129" s="23" t="n">
        <f aca="false">Hypothèses!$B$10</f>
        <v>11.543588376433</v>
      </c>
      <c r="J129" s="23" t="n">
        <f aca="false">Hypothèses!$B$10</f>
        <v>11.543588376433</v>
      </c>
      <c r="K129" s="21" t="n">
        <f aca="false">H129</f>
        <v>70.2035012885453</v>
      </c>
      <c r="L129" s="7" t="s">
        <v>112</v>
      </c>
      <c r="M129" s="8" t="n">
        <f aca="false">F129+12*H129+I129</f>
        <v>853.985603838976</v>
      </c>
      <c r="N129" s="8" t="n">
        <f aca="false">G129+12*H129+I129</f>
        <v>853.985603838976</v>
      </c>
      <c r="O129" s="8" t="n">
        <f aca="false">M129+12*H129+J129</f>
        <v>1707.97120767795</v>
      </c>
      <c r="P129" s="8" t="n">
        <f aca="false">N129+12*H129+J129</f>
        <v>1707.97120767795</v>
      </c>
      <c r="Q129" s="8" t="n">
        <f aca="false">O129+12*K129+J129</f>
        <v>2561.95681151693</v>
      </c>
      <c r="R129" s="8" t="n">
        <f aca="false">P129+12*K129+J129</f>
        <v>2561.95681151693</v>
      </c>
      <c r="S129" s="8" t="n">
        <f aca="false">(M129+N129)/2</f>
        <v>853.985603838976</v>
      </c>
      <c r="T129" s="8" t="n">
        <f aca="false">(O129+P129)/2</f>
        <v>1707.97120767795</v>
      </c>
      <c r="U129" s="8" t="n">
        <f aca="false">(Q129+R129)/2</f>
        <v>2561.95681151693</v>
      </c>
      <c r="V129" s="7" t="s">
        <v>379</v>
      </c>
      <c r="W129" s="22" t="s">
        <v>376</v>
      </c>
      <c r="X129" s="7" t="s">
        <v>377</v>
      </c>
      <c r="Y129" s="7" t="s">
        <v>108</v>
      </c>
      <c r="Z129" s="7" t="s">
        <v>116</v>
      </c>
    </row>
    <row r="130" customFormat="false" ht="15" hidden="false" customHeight="false" outlineLevel="0" collapsed="false">
      <c r="A130" s="7" t="n">
        <v>129</v>
      </c>
      <c r="B130" s="7" t="s">
        <v>32</v>
      </c>
      <c r="C130" s="7" t="s">
        <v>37</v>
      </c>
      <c r="D130" s="7" t="s">
        <v>380</v>
      </c>
      <c r="E130" s="7" t="s">
        <v>381</v>
      </c>
      <c r="F130" s="20" t="n">
        <v>0</v>
      </c>
      <c r="G130" s="20" t="n">
        <v>0</v>
      </c>
      <c r="H130" s="21" t="n">
        <f aca="false">24.9</f>
        <v>24.9</v>
      </c>
      <c r="I130" s="23" t="n">
        <f aca="false">Hypothèses!$B$10</f>
        <v>11.543588376433</v>
      </c>
      <c r="J130" s="23" t="n">
        <f aca="false">Hypothèses!$B$10</f>
        <v>11.543588376433</v>
      </c>
      <c r="K130" s="21" t="n">
        <f aca="false">H130</f>
        <v>24.9</v>
      </c>
      <c r="L130" s="7" t="s">
        <v>382</v>
      </c>
      <c r="M130" s="8" t="n">
        <f aca="false">F130+12*H130+I130</f>
        <v>310.343588376433</v>
      </c>
      <c r="N130" s="8" t="n">
        <f aca="false">G130+12*H130+I130</f>
        <v>310.343588376433</v>
      </c>
      <c r="O130" s="8" t="n">
        <f aca="false">M130+12*H130+J130</f>
        <v>620.687176752866</v>
      </c>
      <c r="P130" s="8" t="n">
        <f aca="false">N130+12*H130+J130</f>
        <v>620.687176752866</v>
      </c>
      <c r="Q130" s="8" t="n">
        <f aca="false">O130+12*K130+J130</f>
        <v>931.030765129299</v>
      </c>
      <c r="R130" s="8" t="n">
        <f aca="false">P130+12*K130+J130</f>
        <v>931.030765129299</v>
      </c>
      <c r="S130" s="8" t="n">
        <f aca="false">(M130+N130)/2</f>
        <v>310.343588376433</v>
      </c>
      <c r="T130" s="8" t="n">
        <f aca="false">(O130+P130)/2</f>
        <v>620.687176752866</v>
      </c>
      <c r="U130" s="8" t="n">
        <f aca="false">(Q130+R130)/2</f>
        <v>931.030765129299</v>
      </c>
      <c r="V130" s="7" t="s">
        <v>383</v>
      </c>
      <c r="W130" s="22" t="s">
        <v>384</v>
      </c>
      <c r="X130" s="7" t="s">
        <v>193</v>
      </c>
      <c r="Y130" s="7" t="s">
        <v>108</v>
      </c>
      <c r="Z130" s="7" t="s">
        <v>116</v>
      </c>
    </row>
    <row r="131" customFormat="false" ht="15" hidden="false" customHeight="false" outlineLevel="0" collapsed="false">
      <c r="A131" s="7" t="n">
        <v>130</v>
      </c>
      <c r="B131" s="7" t="s">
        <v>32</v>
      </c>
      <c r="C131" s="7" t="s">
        <v>37</v>
      </c>
      <c r="D131" s="7" t="s">
        <v>380</v>
      </c>
      <c r="E131" s="7" t="s">
        <v>385</v>
      </c>
      <c r="F131" s="20" t="n">
        <v>0</v>
      </c>
      <c r="G131" s="20" t="n">
        <v>0</v>
      </c>
      <c r="H131" s="21" t="n">
        <f aca="false">99.9</f>
        <v>99.9</v>
      </c>
      <c r="I131" s="23" t="n">
        <f aca="false">Hypothèses!$B$10</f>
        <v>11.543588376433</v>
      </c>
      <c r="J131" s="23" t="n">
        <f aca="false">Hypothèses!$B$10</f>
        <v>11.543588376433</v>
      </c>
      <c r="K131" s="21" t="n">
        <f aca="false">H131</f>
        <v>99.9</v>
      </c>
      <c r="L131" s="7" t="s">
        <v>382</v>
      </c>
      <c r="M131" s="8" t="n">
        <f aca="false">F131+12*H131+I131</f>
        <v>1210.34358837643</v>
      </c>
      <c r="N131" s="8" t="n">
        <f aca="false">G131+12*H131+I131</f>
        <v>1210.34358837643</v>
      </c>
      <c r="O131" s="8" t="n">
        <f aca="false">M131+12*H131+J131</f>
        <v>2420.68717675287</v>
      </c>
      <c r="P131" s="8" t="n">
        <f aca="false">N131+12*H131+J131</f>
        <v>2420.68717675287</v>
      </c>
      <c r="Q131" s="8" t="n">
        <f aca="false">O131+12*K131+J131</f>
        <v>3631.0307651293</v>
      </c>
      <c r="R131" s="8" t="n">
        <f aca="false">P131+12*K131+J131</f>
        <v>3631.0307651293</v>
      </c>
      <c r="S131" s="8" t="n">
        <f aca="false">(M131+N131)/2</f>
        <v>1210.34358837643</v>
      </c>
      <c r="T131" s="8" t="n">
        <f aca="false">(O131+P131)/2</f>
        <v>2420.68717675287</v>
      </c>
      <c r="U131" s="8" t="n">
        <f aca="false">(Q131+R131)/2</f>
        <v>3631.0307651293</v>
      </c>
      <c r="V131" s="7" t="s">
        <v>386</v>
      </c>
      <c r="W131" s="22" t="s">
        <v>384</v>
      </c>
      <c r="X131" s="7" t="s">
        <v>193</v>
      </c>
      <c r="Y131" s="7" t="s">
        <v>108</v>
      </c>
      <c r="Z131" s="7" t="s">
        <v>116</v>
      </c>
    </row>
    <row r="132" customFormat="false" ht="15" hidden="false" customHeight="false" outlineLevel="0" collapsed="false">
      <c r="A132" s="7" t="n">
        <v>131</v>
      </c>
      <c r="B132" s="7" t="s">
        <v>33</v>
      </c>
      <c r="C132" s="7" t="s">
        <v>37</v>
      </c>
      <c r="D132" s="7" t="s">
        <v>198</v>
      </c>
      <c r="E132" s="7" t="s">
        <v>387</v>
      </c>
      <c r="F132" s="20" t="n">
        <v>1490</v>
      </c>
      <c r="G132" s="20" t="n">
        <v>1490</v>
      </c>
      <c r="H132" s="20" t="n">
        <v>0</v>
      </c>
      <c r="I132" s="23" t="n">
        <f aca="false">Hypothèses!$B$14</f>
        <v>79.79</v>
      </c>
      <c r="J132" s="23" t="n">
        <f aca="false">Hypothèses!$B$14</f>
        <v>79.79</v>
      </c>
      <c r="K132" s="21" t="n">
        <f aca="false">H132</f>
        <v>0</v>
      </c>
      <c r="L132" s="7" t="s">
        <v>106</v>
      </c>
      <c r="M132" s="8" t="n">
        <f aca="false">F132+12*H132+I132</f>
        <v>1569.79</v>
      </c>
      <c r="N132" s="8" t="n">
        <f aca="false">G132+12*H132+I132</f>
        <v>1569.79</v>
      </c>
      <c r="O132" s="8" t="n">
        <f aca="false">M132+12*H132+J132</f>
        <v>1649.58</v>
      </c>
      <c r="P132" s="8" t="n">
        <f aca="false">N132+12*H132+J132</f>
        <v>1649.58</v>
      </c>
      <c r="Q132" s="8" t="n">
        <f aca="false">O132+12*K132+J132</f>
        <v>1729.37</v>
      </c>
      <c r="R132" s="8" t="n">
        <f aca="false">P132+12*K132+J132</f>
        <v>1729.37</v>
      </c>
      <c r="S132" s="8" t="n">
        <f aca="false">(M132+N132)/2</f>
        <v>1569.79</v>
      </c>
      <c r="T132" s="8" t="n">
        <f aca="false">(O132+P132)/2</f>
        <v>1649.58</v>
      </c>
      <c r="U132" s="8" t="n">
        <f aca="false">(Q132+R132)/2</f>
        <v>1729.37</v>
      </c>
      <c r="V132" s="7"/>
      <c r="W132" s="22" t="s">
        <v>201</v>
      </c>
      <c r="X132" s="7" t="s">
        <v>163</v>
      </c>
      <c r="Y132" s="7" t="s">
        <v>108</v>
      </c>
      <c r="Z132" s="7" t="s">
        <v>164</v>
      </c>
    </row>
    <row r="133" customFormat="false" ht="15" hidden="false" customHeight="false" outlineLevel="0" collapsed="false">
      <c r="A133" s="7" t="n">
        <v>132</v>
      </c>
      <c r="B133" s="7" t="s">
        <v>33</v>
      </c>
      <c r="C133" s="7" t="s">
        <v>37</v>
      </c>
      <c r="D133" s="7" t="s">
        <v>310</v>
      </c>
      <c r="E133" s="7" t="s">
        <v>388</v>
      </c>
      <c r="F133" s="20" t="n">
        <v>1190</v>
      </c>
      <c r="G133" s="20" t="n">
        <v>6000</v>
      </c>
      <c r="H133" s="20" t="n">
        <v>0</v>
      </c>
      <c r="I133" s="23" t="n">
        <f aca="false">Hypothèses!$B$14</f>
        <v>79.79</v>
      </c>
      <c r="J133" s="23" t="n">
        <f aca="false">Hypothèses!$B$14</f>
        <v>79.79</v>
      </c>
      <c r="K133" s="21" t="n">
        <f aca="false">H133</f>
        <v>0</v>
      </c>
      <c r="L133" s="7" t="s">
        <v>106</v>
      </c>
      <c r="M133" s="8" t="n">
        <f aca="false">F133+12*H133+I133</f>
        <v>1269.79</v>
      </c>
      <c r="N133" s="8" t="n">
        <f aca="false">G133+12*H133+I133</f>
        <v>6079.79</v>
      </c>
      <c r="O133" s="8" t="n">
        <f aca="false">M133+12*H133+J133</f>
        <v>1349.58</v>
      </c>
      <c r="P133" s="8" t="n">
        <f aca="false">N133+12*H133+J133</f>
        <v>6159.58</v>
      </c>
      <c r="Q133" s="8" t="n">
        <f aca="false">O133+12*K133+J133</f>
        <v>1429.37</v>
      </c>
      <c r="R133" s="8" t="n">
        <f aca="false">P133+12*K133+J133</f>
        <v>6239.37</v>
      </c>
      <c r="S133" s="8" t="n">
        <f aca="false">(M133+N133)/2</f>
        <v>3674.79</v>
      </c>
      <c r="T133" s="8" t="n">
        <f aca="false">(O133+P133)/2</f>
        <v>3754.58</v>
      </c>
      <c r="U133" s="8" t="n">
        <f aca="false">(Q133+R133)/2</f>
        <v>3834.37</v>
      </c>
      <c r="V133" s="7" t="s">
        <v>312</v>
      </c>
      <c r="W133" s="22" t="s">
        <v>183</v>
      </c>
      <c r="X133" s="7" t="s">
        <v>184</v>
      </c>
      <c r="Y133" s="7" t="s">
        <v>108</v>
      </c>
      <c r="Z133" s="7" t="s">
        <v>164</v>
      </c>
    </row>
    <row r="134" customFormat="false" ht="15" hidden="false" customHeight="false" outlineLevel="0" collapsed="false">
      <c r="A134" s="7" t="n">
        <v>133</v>
      </c>
      <c r="B134" s="7" t="s">
        <v>33</v>
      </c>
      <c r="C134" s="7" t="s">
        <v>37</v>
      </c>
      <c r="D134" s="7" t="s">
        <v>194</v>
      </c>
      <c r="E134" s="7" t="s">
        <v>389</v>
      </c>
      <c r="F134" s="20" t="n">
        <v>1790</v>
      </c>
      <c r="G134" s="20" t="n">
        <v>4000</v>
      </c>
      <c r="H134" s="20" t="n">
        <v>0</v>
      </c>
      <c r="I134" s="23" t="n">
        <f aca="false">Hypothèses!$B$14</f>
        <v>79.79</v>
      </c>
      <c r="J134" s="23" t="n">
        <f aca="false">Hypothèses!$B$14</f>
        <v>79.79</v>
      </c>
      <c r="K134" s="21" t="n">
        <f aca="false">H134</f>
        <v>0</v>
      </c>
      <c r="L134" s="7" t="s">
        <v>106</v>
      </c>
      <c r="M134" s="8" t="n">
        <f aca="false">F134+12*H134+I134</f>
        <v>1869.79</v>
      </c>
      <c r="N134" s="8" t="n">
        <f aca="false">G134+12*H134+I134</f>
        <v>4079.79</v>
      </c>
      <c r="O134" s="8" t="n">
        <f aca="false">M134+12*H134+J134</f>
        <v>1949.58</v>
      </c>
      <c r="P134" s="8" t="n">
        <f aca="false">N134+12*H134+J134</f>
        <v>4159.58</v>
      </c>
      <c r="Q134" s="8" t="n">
        <f aca="false">O134+12*K134+J134</f>
        <v>2029.37</v>
      </c>
      <c r="R134" s="8" t="n">
        <f aca="false">P134+12*K134+J134</f>
        <v>4239.37</v>
      </c>
      <c r="S134" s="8" t="n">
        <f aca="false">(M134+N134)/2</f>
        <v>2974.79</v>
      </c>
      <c r="T134" s="8" t="n">
        <f aca="false">(O134+P134)/2</f>
        <v>3054.58</v>
      </c>
      <c r="U134" s="8" t="n">
        <f aca="false">(Q134+R134)/2</f>
        <v>3134.37</v>
      </c>
      <c r="V134" s="7"/>
      <c r="W134" s="22" t="s">
        <v>196</v>
      </c>
      <c r="X134" s="7" t="s">
        <v>163</v>
      </c>
      <c r="Y134" s="7" t="s">
        <v>108</v>
      </c>
      <c r="Z134" s="7" t="s">
        <v>197</v>
      </c>
    </row>
    <row r="135" customFormat="false" ht="15" hidden="false" customHeight="false" outlineLevel="0" collapsed="false">
      <c r="A135" s="7" t="n">
        <v>134</v>
      </c>
      <c r="B135" s="7" t="s">
        <v>33</v>
      </c>
      <c r="C135" s="7" t="s">
        <v>37</v>
      </c>
      <c r="D135" s="7" t="s">
        <v>268</v>
      </c>
      <c r="E135" s="7" t="s">
        <v>390</v>
      </c>
      <c r="F135" s="20" t="n">
        <v>1490</v>
      </c>
      <c r="G135" s="20" t="n">
        <v>1490</v>
      </c>
      <c r="H135" s="20" t="n">
        <v>0</v>
      </c>
      <c r="I135" s="21" t="n">
        <f aca="false">98</f>
        <v>98</v>
      </c>
      <c r="J135" s="21" t="n">
        <f aca="false">98</f>
        <v>98</v>
      </c>
      <c r="K135" s="21" t="n">
        <f aca="false">H135</f>
        <v>0</v>
      </c>
      <c r="L135" s="7" t="s">
        <v>106</v>
      </c>
      <c r="M135" s="8" t="n">
        <f aca="false">F135+12*H135+I135</f>
        <v>1588</v>
      </c>
      <c r="N135" s="8" t="n">
        <f aca="false">G135+12*H135+I135</f>
        <v>1588</v>
      </c>
      <c r="O135" s="8" t="n">
        <f aca="false">M135+12*H135+J135</f>
        <v>1686</v>
      </c>
      <c r="P135" s="8" t="n">
        <f aca="false">N135+12*H135+J135</f>
        <v>1686</v>
      </c>
      <c r="Q135" s="8" t="n">
        <f aca="false">O135+12*K135+J135</f>
        <v>1784</v>
      </c>
      <c r="R135" s="8" t="n">
        <f aca="false">P135+12*K135+J135</f>
        <v>1784</v>
      </c>
      <c r="S135" s="8" t="n">
        <f aca="false">(M135+N135)/2</f>
        <v>1588</v>
      </c>
      <c r="T135" s="8" t="n">
        <f aca="false">(O135+P135)/2</f>
        <v>1686</v>
      </c>
      <c r="U135" s="8" t="n">
        <f aca="false">(Q135+R135)/2</f>
        <v>1784</v>
      </c>
      <c r="V135" s="7" t="s">
        <v>318</v>
      </c>
      <c r="W135" s="22" t="s">
        <v>271</v>
      </c>
      <c r="X135" s="7" t="s">
        <v>193</v>
      </c>
      <c r="Y135" s="7" t="s">
        <v>108</v>
      </c>
      <c r="Z135" s="7" t="s">
        <v>164</v>
      </c>
    </row>
    <row r="136" customFormat="false" ht="15" hidden="false" customHeight="false" outlineLevel="0" collapsed="false">
      <c r="A136" s="7" t="n">
        <v>135</v>
      </c>
      <c r="B136" s="7" t="s">
        <v>33</v>
      </c>
      <c r="C136" s="7" t="s">
        <v>37</v>
      </c>
      <c r="D136" s="7" t="s">
        <v>391</v>
      </c>
      <c r="E136" s="7" t="s">
        <v>392</v>
      </c>
      <c r="F136" s="20" t="n">
        <v>1950</v>
      </c>
      <c r="G136" s="20" t="n">
        <v>2400</v>
      </c>
      <c r="H136" s="20" t="n">
        <v>0</v>
      </c>
      <c r="I136" s="23" t="n">
        <f aca="false">Hypothèses!$B$14</f>
        <v>79.79</v>
      </c>
      <c r="J136" s="23" t="n">
        <f aca="false">Hypothèses!$B$14</f>
        <v>79.79</v>
      </c>
      <c r="K136" s="21" t="n">
        <f aca="false">H136</f>
        <v>0</v>
      </c>
      <c r="L136" s="7" t="s">
        <v>106</v>
      </c>
      <c r="M136" s="8" t="n">
        <f aca="false">F136+12*H136+I136</f>
        <v>2029.79</v>
      </c>
      <c r="N136" s="8" t="n">
        <f aca="false">G136+12*H136+I136</f>
        <v>2479.79</v>
      </c>
      <c r="O136" s="8" t="n">
        <f aca="false">M136+12*H136+J136</f>
        <v>2109.58</v>
      </c>
      <c r="P136" s="8" t="n">
        <f aca="false">N136+12*H136+J136</f>
        <v>2559.58</v>
      </c>
      <c r="Q136" s="8" t="n">
        <f aca="false">O136+12*K136+J136</f>
        <v>2189.37</v>
      </c>
      <c r="R136" s="8" t="n">
        <f aca="false">P136+12*K136+J136</f>
        <v>2639.37</v>
      </c>
      <c r="S136" s="8" t="n">
        <f aca="false">(M136+N136)/2</f>
        <v>2254.79</v>
      </c>
      <c r="T136" s="8" t="n">
        <f aca="false">(O136+P136)/2</f>
        <v>2334.58</v>
      </c>
      <c r="U136" s="8" t="n">
        <f aca="false">(Q136+R136)/2</f>
        <v>2414.37</v>
      </c>
      <c r="V136" s="7" t="s">
        <v>393</v>
      </c>
      <c r="W136" s="22" t="s">
        <v>394</v>
      </c>
      <c r="X136" s="7" t="s">
        <v>193</v>
      </c>
      <c r="Y136" s="7" t="s">
        <v>108</v>
      </c>
      <c r="Z136" s="7" t="s">
        <v>395</v>
      </c>
    </row>
    <row r="137" customFormat="false" ht="15" hidden="false" customHeight="false" outlineLevel="0" collapsed="false">
      <c r="A137" s="7" t="n">
        <v>136</v>
      </c>
      <c r="B137" s="7" t="s">
        <v>33</v>
      </c>
      <c r="C137" s="7" t="s">
        <v>37</v>
      </c>
      <c r="D137" s="7" t="s">
        <v>189</v>
      </c>
      <c r="E137" s="7" t="s">
        <v>396</v>
      </c>
      <c r="F137" s="20" t="n">
        <v>1300</v>
      </c>
      <c r="G137" s="20" t="n">
        <v>1300</v>
      </c>
      <c r="H137" s="20" t="n">
        <v>0</v>
      </c>
      <c r="I137" s="23" t="n">
        <f aca="false">Hypothèses!$B$14</f>
        <v>79.79</v>
      </c>
      <c r="J137" s="23" t="n">
        <f aca="false">Hypothèses!$B$14</f>
        <v>79.79</v>
      </c>
      <c r="K137" s="21" t="n">
        <f aca="false">H137</f>
        <v>0</v>
      </c>
      <c r="L137" s="7" t="s">
        <v>106</v>
      </c>
      <c r="M137" s="8" t="n">
        <f aca="false">F137+12*H137+I137</f>
        <v>1379.79</v>
      </c>
      <c r="N137" s="8" t="n">
        <f aca="false">G137+12*H137+I137</f>
        <v>1379.79</v>
      </c>
      <c r="O137" s="8" t="n">
        <f aca="false">M137+12*H137+J137</f>
        <v>1459.58</v>
      </c>
      <c r="P137" s="8" t="n">
        <f aca="false">N137+12*H137+J137</f>
        <v>1459.58</v>
      </c>
      <c r="Q137" s="8" t="n">
        <f aca="false">O137+12*K137+J137</f>
        <v>1539.37</v>
      </c>
      <c r="R137" s="8" t="n">
        <f aca="false">P137+12*K137+J137</f>
        <v>1539.37</v>
      </c>
      <c r="S137" s="8" t="n">
        <f aca="false">(M137+N137)/2</f>
        <v>1379.79</v>
      </c>
      <c r="T137" s="8" t="n">
        <f aca="false">(O137+P137)/2</f>
        <v>1459.58</v>
      </c>
      <c r="U137" s="8" t="n">
        <f aca="false">(Q137+R137)/2</f>
        <v>1539.37</v>
      </c>
      <c r="V137" s="7" t="s">
        <v>397</v>
      </c>
      <c r="W137" s="22" t="s">
        <v>192</v>
      </c>
      <c r="X137" s="7" t="s">
        <v>193</v>
      </c>
      <c r="Y137" s="7" t="s">
        <v>108</v>
      </c>
      <c r="Z137" s="7" t="s">
        <v>109</v>
      </c>
    </row>
    <row r="138" customFormat="false" ht="15" hidden="false" customHeight="false" outlineLevel="0" collapsed="false">
      <c r="A138" s="7" t="n">
        <v>137</v>
      </c>
      <c r="B138" s="7" t="s">
        <v>33</v>
      </c>
      <c r="C138" s="7" t="s">
        <v>37</v>
      </c>
      <c r="D138" s="7" t="s">
        <v>398</v>
      </c>
      <c r="E138" s="7" t="s">
        <v>399</v>
      </c>
      <c r="F138" s="20" t="n">
        <v>2490</v>
      </c>
      <c r="G138" s="20" t="n">
        <v>2490</v>
      </c>
      <c r="H138" s="20" t="n">
        <v>0</v>
      </c>
      <c r="I138" s="23" t="n">
        <f aca="false">Hypothèses!$B$14</f>
        <v>79.79</v>
      </c>
      <c r="J138" s="23" t="n">
        <f aca="false">Hypothèses!$B$14</f>
        <v>79.79</v>
      </c>
      <c r="K138" s="21" t="n">
        <f aca="false">H138</f>
        <v>0</v>
      </c>
      <c r="L138" s="7" t="s">
        <v>106</v>
      </c>
      <c r="M138" s="8" t="n">
        <f aca="false">F138+12*H138+I138</f>
        <v>2569.79</v>
      </c>
      <c r="N138" s="8" t="n">
        <f aca="false">G138+12*H138+I138</f>
        <v>2569.79</v>
      </c>
      <c r="O138" s="8" t="n">
        <f aca="false">M138+12*H138+J138</f>
        <v>2649.58</v>
      </c>
      <c r="P138" s="8" t="n">
        <f aca="false">N138+12*H138+J138</f>
        <v>2649.58</v>
      </c>
      <c r="Q138" s="8" t="n">
        <f aca="false">O138+12*K138+J138</f>
        <v>2729.37</v>
      </c>
      <c r="R138" s="8" t="n">
        <f aca="false">P138+12*K138+J138</f>
        <v>2729.37</v>
      </c>
      <c r="S138" s="8" t="n">
        <f aca="false">(M138+N138)/2</f>
        <v>2569.79</v>
      </c>
      <c r="T138" s="8" t="n">
        <f aca="false">(O138+P138)/2</f>
        <v>2649.58</v>
      </c>
      <c r="U138" s="8" t="n">
        <f aca="false">(Q138+R138)/2</f>
        <v>2729.37</v>
      </c>
      <c r="V138" s="7"/>
      <c r="W138" s="22" t="s">
        <v>400</v>
      </c>
      <c r="X138" s="7" t="s">
        <v>163</v>
      </c>
      <c r="Y138" s="7" t="s">
        <v>108</v>
      </c>
      <c r="Z138" s="7" t="s">
        <v>164</v>
      </c>
    </row>
    <row r="139" customFormat="false" ht="15" hidden="false" customHeight="false" outlineLevel="0" collapsed="false">
      <c r="A139" s="7" t="n">
        <v>138</v>
      </c>
      <c r="B139" s="7" t="s">
        <v>33</v>
      </c>
      <c r="C139" s="7" t="s">
        <v>37</v>
      </c>
      <c r="D139" s="7" t="s">
        <v>294</v>
      </c>
      <c r="E139" s="7" t="s">
        <v>401</v>
      </c>
      <c r="F139" s="20" t="n">
        <v>1500</v>
      </c>
      <c r="G139" s="20" t="n">
        <v>8000</v>
      </c>
      <c r="H139" s="20" t="n">
        <v>0</v>
      </c>
      <c r="I139" s="23" t="n">
        <f aca="false">Hypothèses!$B$14</f>
        <v>79.79</v>
      </c>
      <c r="J139" s="23" t="n">
        <f aca="false">Hypothèses!$B$14</f>
        <v>79.79</v>
      </c>
      <c r="K139" s="21" t="n">
        <f aca="false">H139</f>
        <v>0</v>
      </c>
      <c r="L139" s="7" t="s">
        <v>106</v>
      </c>
      <c r="M139" s="8" t="n">
        <f aca="false">F139+12*H139+I139</f>
        <v>1579.79</v>
      </c>
      <c r="N139" s="8" t="n">
        <f aca="false">G139+12*H139+I139</f>
        <v>8079.79</v>
      </c>
      <c r="O139" s="8" t="n">
        <f aca="false">M139+12*H139+J139</f>
        <v>1659.58</v>
      </c>
      <c r="P139" s="8" t="n">
        <f aca="false">N139+12*H139+J139</f>
        <v>8159.58</v>
      </c>
      <c r="Q139" s="8" t="n">
        <f aca="false">O139+12*K139+J139</f>
        <v>1739.37</v>
      </c>
      <c r="R139" s="8" t="n">
        <f aca="false">P139+12*K139+J139</f>
        <v>8239.37</v>
      </c>
      <c r="S139" s="8" t="n">
        <f aca="false">(M139+N139)/2</f>
        <v>4829.79</v>
      </c>
      <c r="T139" s="8" t="n">
        <f aca="false">(O139+P139)/2</f>
        <v>4909.58</v>
      </c>
      <c r="U139" s="8" t="n">
        <f aca="false">(Q139+R139)/2</f>
        <v>4989.37</v>
      </c>
      <c r="V139" s="7" t="s">
        <v>218</v>
      </c>
      <c r="W139" s="22" t="s">
        <v>196</v>
      </c>
      <c r="X139" s="7" t="s">
        <v>184</v>
      </c>
      <c r="Y139" s="7" t="s">
        <v>108</v>
      </c>
      <c r="Z139" s="7" t="s">
        <v>164</v>
      </c>
    </row>
    <row r="140" customFormat="false" ht="15" hidden="false" customHeight="false" outlineLevel="0" collapsed="false">
      <c r="A140" s="7" t="n">
        <v>139</v>
      </c>
      <c r="B140" s="7" t="s">
        <v>34</v>
      </c>
      <c r="C140" s="7" t="s">
        <v>37</v>
      </c>
      <c r="D140" s="7" t="s">
        <v>227</v>
      </c>
      <c r="E140" s="7" t="s">
        <v>402</v>
      </c>
      <c r="F140" s="20" t="n">
        <v>0</v>
      </c>
      <c r="G140" s="20" t="n">
        <v>0</v>
      </c>
      <c r="H140" s="21" t="n">
        <f aca="false">139</f>
        <v>139</v>
      </c>
      <c r="I140" s="20" t="n">
        <v>0</v>
      </c>
      <c r="J140" s="20" t="n">
        <v>0</v>
      </c>
      <c r="K140" s="21" t="n">
        <f aca="false">H140</f>
        <v>139</v>
      </c>
      <c r="L140" s="7" t="s">
        <v>229</v>
      </c>
      <c r="M140" s="8" t="n">
        <f aca="false">F140+12*H140+I140</f>
        <v>1668</v>
      </c>
      <c r="N140" s="8" t="n">
        <f aca="false">G140+12*H140+I140</f>
        <v>1668</v>
      </c>
      <c r="O140" s="8" t="n">
        <f aca="false">M140+12*H140+J140</f>
        <v>3336</v>
      </c>
      <c r="P140" s="8" t="n">
        <f aca="false">N140+12*H140+J140</f>
        <v>3336</v>
      </c>
      <c r="Q140" s="8" t="n">
        <f aca="false">O140+12*K140+J140</f>
        <v>5004</v>
      </c>
      <c r="R140" s="8" t="n">
        <f aca="false">P140+12*K140+J140</f>
        <v>5004</v>
      </c>
      <c r="S140" s="8" t="n">
        <f aca="false">(M140+N140)/2</f>
        <v>1668</v>
      </c>
      <c r="T140" s="8" t="n">
        <f aca="false">(O140+P140)/2</f>
        <v>3336</v>
      </c>
      <c r="U140" s="8" t="n">
        <f aca="false">(Q140+R140)/2</f>
        <v>5004</v>
      </c>
      <c r="V140" s="7" t="s">
        <v>403</v>
      </c>
      <c r="W140" s="22" t="s">
        <v>231</v>
      </c>
      <c r="X140" s="7" t="s">
        <v>193</v>
      </c>
      <c r="Y140" s="7" t="s">
        <v>108</v>
      </c>
      <c r="Z140" s="7" t="s">
        <v>232</v>
      </c>
    </row>
    <row r="141" customFormat="false" ht="15" hidden="false" customHeight="false" outlineLevel="0" collapsed="false">
      <c r="A141" s="7" t="n">
        <v>140</v>
      </c>
      <c r="B141" s="7" t="s">
        <v>34</v>
      </c>
      <c r="C141" s="7" t="s">
        <v>37</v>
      </c>
      <c r="D141" s="7" t="s">
        <v>391</v>
      </c>
      <c r="E141" s="7" t="s">
        <v>404</v>
      </c>
      <c r="F141" s="20" t="n">
        <v>0</v>
      </c>
      <c r="G141" s="20" t="n">
        <v>0</v>
      </c>
      <c r="H141" s="21" t="n">
        <f aca="false">129</f>
        <v>129</v>
      </c>
      <c r="I141" s="20" t="n">
        <v>0</v>
      </c>
      <c r="J141" s="20" t="n">
        <v>0</v>
      </c>
      <c r="K141" s="21" t="n">
        <f aca="false">H141</f>
        <v>129</v>
      </c>
      <c r="L141" s="7" t="s">
        <v>164</v>
      </c>
      <c r="M141" s="8" t="n">
        <f aca="false">F141+12*H141+I141</f>
        <v>1548</v>
      </c>
      <c r="N141" s="8" t="n">
        <f aca="false">G141+12*H141+I141</f>
        <v>1548</v>
      </c>
      <c r="O141" s="8" t="n">
        <f aca="false">M141+12*H141+J141</f>
        <v>3096</v>
      </c>
      <c r="P141" s="8" t="n">
        <f aca="false">N141+12*H141+J141</f>
        <v>3096</v>
      </c>
      <c r="Q141" s="8" t="n">
        <f aca="false">O141+12*K141+J141</f>
        <v>4644</v>
      </c>
      <c r="R141" s="8" t="n">
        <f aca="false">P141+12*K141+J141</f>
        <v>4644</v>
      </c>
      <c r="S141" s="8" t="n">
        <f aca="false">(M141+N141)/2</f>
        <v>1548</v>
      </c>
      <c r="T141" s="8" t="n">
        <f aca="false">(O141+P141)/2</f>
        <v>3096</v>
      </c>
      <c r="U141" s="8" t="n">
        <f aca="false">(Q141+R141)/2</f>
        <v>4644</v>
      </c>
      <c r="V141" s="7" t="s">
        <v>230</v>
      </c>
      <c r="W141" s="22" t="s">
        <v>394</v>
      </c>
      <c r="X141" s="7" t="s">
        <v>193</v>
      </c>
      <c r="Y141" s="7" t="s">
        <v>108</v>
      </c>
      <c r="Z141" s="7" t="s">
        <v>405</v>
      </c>
    </row>
    <row r="142" customFormat="false" ht="15" hidden="false" customHeight="false" outlineLevel="0" collapsed="false">
      <c r="A142" s="7" t="n">
        <v>141</v>
      </c>
      <c r="B142" s="7" t="s">
        <v>34</v>
      </c>
      <c r="C142" s="7" t="s">
        <v>37</v>
      </c>
      <c r="D142" s="7" t="s">
        <v>268</v>
      </c>
      <c r="E142" s="7" t="s">
        <v>406</v>
      </c>
      <c r="F142" s="20" t="n">
        <v>0</v>
      </c>
      <c r="G142" s="20" t="n">
        <v>0</v>
      </c>
      <c r="H142" s="21" t="n">
        <f aca="false">99</f>
        <v>99</v>
      </c>
      <c r="I142" s="20" t="n">
        <v>0</v>
      </c>
      <c r="J142" s="20" t="n">
        <v>0</v>
      </c>
      <c r="K142" s="21" t="n">
        <f aca="false">98/12</f>
        <v>8.16666666666667</v>
      </c>
      <c r="L142" s="7" t="s">
        <v>261</v>
      </c>
      <c r="M142" s="8" t="n">
        <f aca="false">F142+12*H142+I142</f>
        <v>1188</v>
      </c>
      <c r="N142" s="8" t="n">
        <f aca="false">G142+12*H142+I142</f>
        <v>1188</v>
      </c>
      <c r="O142" s="8" t="n">
        <f aca="false">M142+12*H142+J142</f>
        <v>2376</v>
      </c>
      <c r="P142" s="8" t="n">
        <f aca="false">N142+12*H142+J142</f>
        <v>2376</v>
      </c>
      <c r="Q142" s="8" t="n">
        <f aca="false">O142+12*K142+J142</f>
        <v>2474</v>
      </c>
      <c r="R142" s="8" t="n">
        <f aca="false">P142+12*K142+J142</f>
        <v>2474</v>
      </c>
      <c r="S142" s="8" t="n">
        <f aca="false">(M142+N142)/2</f>
        <v>1188</v>
      </c>
      <c r="T142" s="8" t="n">
        <f aca="false">(O142+P142)/2</f>
        <v>2376</v>
      </c>
      <c r="U142" s="8" t="n">
        <f aca="false">(Q142+R142)/2</f>
        <v>2474</v>
      </c>
      <c r="V142" s="7" t="s">
        <v>407</v>
      </c>
      <c r="W142" s="22" t="s">
        <v>271</v>
      </c>
      <c r="X142" s="7" t="s">
        <v>193</v>
      </c>
      <c r="Y142" s="7" t="s">
        <v>108</v>
      </c>
      <c r="Z142" s="7" t="s">
        <v>232</v>
      </c>
    </row>
    <row r="143" customFormat="false" ht="15" hidden="false" customHeight="false" outlineLevel="0" collapsed="false">
      <c r="A143" s="7" t="n">
        <v>142</v>
      </c>
      <c r="B143" s="7" t="s">
        <v>34</v>
      </c>
      <c r="C143" s="7" t="s">
        <v>37</v>
      </c>
      <c r="D143" s="7" t="s">
        <v>408</v>
      </c>
      <c r="E143" s="7" t="s">
        <v>409</v>
      </c>
      <c r="F143" s="20" t="n">
        <v>0</v>
      </c>
      <c r="G143" s="20" t="n">
        <v>0</v>
      </c>
      <c r="H143" s="21" t="n">
        <f aca="false">99</f>
        <v>99</v>
      </c>
      <c r="I143" s="20" t="n">
        <v>0</v>
      </c>
      <c r="J143" s="20" t="n">
        <v>0</v>
      </c>
      <c r="K143" s="21" t="n">
        <f aca="false">H143</f>
        <v>99</v>
      </c>
      <c r="L143" s="7" t="s">
        <v>246</v>
      </c>
      <c r="M143" s="8" t="n">
        <f aca="false">F143+12*H143+I143</f>
        <v>1188</v>
      </c>
      <c r="N143" s="8" t="n">
        <f aca="false">G143+12*H143+I143</f>
        <v>1188</v>
      </c>
      <c r="O143" s="8" t="n">
        <f aca="false">M143+12*H143+J143</f>
        <v>2376</v>
      </c>
      <c r="P143" s="8" t="n">
        <f aca="false">N143+12*H143+J143</f>
        <v>2376</v>
      </c>
      <c r="Q143" s="8" t="n">
        <f aca="false">O143+12*K143+J143</f>
        <v>3564</v>
      </c>
      <c r="R143" s="8" t="n">
        <f aca="false">P143+12*K143+J143</f>
        <v>3564</v>
      </c>
      <c r="S143" s="8" t="n">
        <f aca="false">(M143+N143)/2</f>
        <v>1188</v>
      </c>
      <c r="T143" s="8" t="n">
        <f aca="false">(O143+P143)/2</f>
        <v>2376</v>
      </c>
      <c r="U143" s="8" t="n">
        <f aca="false">(Q143+R143)/2</f>
        <v>3564</v>
      </c>
      <c r="V143" s="7" t="s">
        <v>410</v>
      </c>
      <c r="W143" s="22" t="s">
        <v>411</v>
      </c>
      <c r="X143" s="7" t="s">
        <v>193</v>
      </c>
      <c r="Y143" s="7" t="s">
        <v>108</v>
      </c>
      <c r="Z143" s="7" t="s">
        <v>232</v>
      </c>
    </row>
    <row r="144" customFormat="false" ht="15" hidden="false" customHeight="false" outlineLevel="0" collapsed="false">
      <c r="A144" s="7" t="n">
        <v>143</v>
      </c>
      <c r="B144" s="7" t="s">
        <v>34</v>
      </c>
      <c r="C144" s="7" t="s">
        <v>37</v>
      </c>
      <c r="D144" s="7" t="s">
        <v>233</v>
      </c>
      <c r="E144" s="7" t="s">
        <v>412</v>
      </c>
      <c r="F144" s="20" t="n">
        <v>99</v>
      </c>
      <c r="G144" s="20" t="n">
        <v>199</v>
      </c>
      <c r="H144" s="21" t="n">
        <f aca="false">59.99</f>
        <v>59.99</v>
      </c>
      <c r="I144" s="20" t="n">
        <v>0</v>
      </c>
      <c r="J144" s="20" t="n">
        <v>0</v>
      </c>
      <c r="K144" s="21" t="n">
        <f aca="false">H144</f>
        <v>59.99</v>
      </c>
      <c r="L144" s="7" t="s">
        <v>229</v>
      </c>
      <c r="M144" s="8" t="n">
        <f aca="false">F144+12*H144+I144</f>
        <v>818.88</v>
      </c>
      <c r="N144" s="8" t="n">
        <f aca="false">G144+12*H144+I144</f>
        <v>918.88</v>
      </c>
      <c r="O144" s="8" t="n">
        <f aca="false">M144+12*H144+J144</f>
        <v>1538.76</v>
      </c>
      <c r="P144" s="8" t="n">
        <f aca="false">N144+12*H144+J144</f>
        <v>1638.76</v>
      </c>
      <c r="Q144" s="8" t="n">
        <f aca="false">O144+12*K144+J144</f>
        <v>2258.64</v>
      </c>
      <c r="R144" s="8" t="n">
        <f aca="false">P144+12*K144+J144</f>
        <v>2358.64</v>
      </c>
      <c r="S144" s="8" t="n">
        <f aca="false">(M144+N144)/2</f>
        <v>868.88</v>
      </c>
      <c r="T144" s="8" t="n">
        <f aca="false">(O144+P144)/2</f>
        <v>1588.76</v>
      </c>
      <c r="U144" s="8" t="n">
        <f aca="false">(Q144+R144)/2</f>
        <v>2308.64</v>
      </c>
      <c r="V144" s="7" t="s">
        <v>413</v>
      </c>
      <c r="W144" s="22" t="s">
        <v>236</v>
      </c>
      <c r="X144" s="7" t="s">
        <v>193</v>
      </c>
      <c r="Y144" s="7" t="s">
        <v>108</v>
      </c>
      <c r="Z144" s="7" t="s">
        <v>232</v>
      </c>
    </row>
    <row r="145" customFormat="false" ht="15" hidden="false" customHeight="false" outlineLevel="0" collapsed="false">
      <c r="A145" s="7" t="n">
        <v>144</v>
      </c>
      <c r="B145" s="7" t="s">
        <v>35</v>
      </c>
      <c r="C145" s="7" t="s">
        <v>37</v>
      </c>
      <c r="D145" s="7" t="s">
        <v>202</v>
      </c>
      <c r="E145" s="7" t="s">
        <v>414</v>
      </c>
      <c r="F145" s="20" t="n">
        <v>2590</v>
      </c>
      <c r="G145" s="20" t="n">
        <v>2590</v>
      </c>
      <c r="H145" s="20" t="n">
        <v>0</v>
      </c>
      <c r="I145" s="23" t="n">
        <f aca="false">Hypothèses!$B$14</f>
        <v>79.79</v>
      </c>
      <c r="J145" s="23" t="n">
        <f aca="false">Hypothèses!$B$14</f>
        <v>79.79</v>
      </c>
      <c r="K145" s="21" t="n">
        <f aca="false">H145</f>
        <v>0</v>
      </c>
      <c r="L145" s="7" t="s">
        <v>106</v>
      </c>
      <c r="M145" s="8" t="n">
        <f aca="false">F145+12*H145+I145</f>
        <v>2669.79</v>
      </c>
      <c r="N145" s="8" t="n">
        <f aca="false">G145+12*H145+I145</f>
        <v>2669.79</v>
      </c>
      <c r="O145" s="8" t="n">
        <f aca="false">M145+12*H145+J145</f>
        <v>2749.58</v>
      </c>
      <c r="P145" s="8" t="n">
        <f aca="false">N145+12*H145+J145</f>
        <v>2749.58</v>
      </c>
      <c r="Q145" s="8" t="n">
        <f aca="false">O145+12*K145+J145</f>
        <v>2829.37</v>
      </c>
      <c r="R145" s="8" t="n">
        <f aca="false">P145+12*K145+J145</f>
        <v>2829.37</v>
      </c>
      <c r="S145" s="8" t="n">
        <f aca="false">(M145+N145)/2</f>
        <v>2669.79</v>
      </c>
      <c r="T145" s="8" t="n">
        <f aca="false">(O145+P145)/2</f>
        <v>2749.58</v>
      </c>
      <c r="U145" s="8" t="n">
        <f aca="false">(Q145+R145)/2</f>
        <v>2829.37</v>
      </c>
      <c r="V145" s="7"/>
      <c r="W145" s="22" t="s">
        <v>204</v>
      </c>
      <c r="X145" s="7" t="s">
        <v>167</v>
      </c>
      <c r="Y145" s="7" t="s">
        <v>108</v>
      </c>
      <c r="Z145" s="7" t="s">
        <v>205</v>
      </c>
    </row>
    <row r="146" customFormat="false" ht="15" hidden="false" customHeight="false" outlineLevel="0" collapsed="false">
      <c r="A146" s="7" t="n">
        <v>145</v>
      </c>
      <c r="B146" s="7" t="s">
        <v>35</v>
      </c>
      <c r="C146" s="7" t="s">
        <v>37</v>
      </c>
      <c r="D146" s="7" t="s">
        <v>398</v>
      </c>
      <c r="E146" s="7" t="s">
        <v>415</v>
      </c>
      <c r="F146" s="20" t="n">
        <v>3990</v>
      </c>
      <c r="G146" s="20" t="n">
        <v>3990</v>
      </c>
      <c r="H146" s="20" t="n">
        <v>0</v>
      </c>
      <c r="I146" s="23" t="n">
        <f aca="false">Hypothèses!$B$14</f>
        <v>79.79</v>
      </c>
      <c r="J146" s="23" t="n">
        <f aca="false">Hypothèses!$B$14</f>
        <v>79.79</v>
      </c>
      <c r="K146" s="21" t="n">
        <f aca="false">H146</f>
        <v>0</v>
      </c>
      <c r="L146" s="7" t="s">
        <v>106</v>
      </c>
      <c r="M146" s="8" t="n">
        <f aca="false">F146+12*H146+I146</f>
        <v>4069.79</v>
      </c>
      <c r="N146" s="8" t="n">
        <f aca="false">G146+12*H146+I146</f>
        <v>4069.79</v>
      </c>
      <c r="O146" s="8" t="n">
        <f aca="false">M146+12*H146+J146</f>
        <v>4149.58</v>
      </c>
      <c r="P146" s="8" t="n">
        <f aca="false">N146+12*H146+J146</f>
        <v>4149.58</v>
      </c>
      <c r="Q146" s="8" t="n">
        <f aca="false">O146+12*K146+J146</f>
        <v>4229.37</v>
      </c>
      <c r="R146" s="8" t="n">
        <f aca="false">P146+12*K146+J146</f>
        <v>4229.37</v>
      </c>
      <c r="S146" s="8" t="n">
        <f aca="false">(M146+N146)/2</f>
        <v>4069.79</v>
      </c>
      <c r="T146" s="8" t="n">
        <f aca="false">(O146+P146)/2</f>
        <v>4149.58</v>
      </c>
      <c r="U146" s="8" t="n">
        <f aca="false">(Q146+R146)/2</f>
        <v>4229.37</v>
      </c>
      <c r="V146" s="7"/>
      <c r="W146" s="22" t="s">
        <v>400</v>
      </c>
      <c r="X146" s="7" t="s">
        <v>163</v>
      </c>
      <c r="Y146" s="7" t="s">
        <v>108</v>
      </c>
      <c r="Z146" s="7" t="s">
        <v>164</v>
      </c>
    </row>
    <row r="147" customFormat="false" ht="15" hidden="false" customHeight="false" outlineLevel="0" collapsed="false">
      <c r="A147" s="7" t="n">
        <v>146</v>
      </c>
      <c r="B147" s="7" t="s">
        <v>35</v>
      </c>
      <c r="C147" s="7" t="s">
        <v>37</v>
      </c>
      <c r="D147" s="7" t="s">
        <v>398</v>
      </c>
      <c r="E147" s="7" t="s">
        <v>416</v>
      </c>
      <c r="F147" s="20" t="n">
        <v>4990</v>
      </c>
      <c r="G147" s="20" t="n">
        <v>4990</v>
      </c>
      <c r="H147" s="20" t="n">
        <v>0</v>
      </c>
      <c r="I147" s="23" t="n">
        <f aca="false">Hypothèses!$B$14</f>
        <v>79.79</v>
      </c>
      <c r="J147" s="23" t="n">
        <f aca="false">Hypothèses!$B$14</f>
        <v>79.79</v>
      </c>
      <c r="K147" s="21" t="n">
        <f aca="false">H147</f>
        <v>0</v>
      </c>
      <c r="L147" s="7" t="s">
        <v>106</v>
      </c>
      <c r="M147" s="8" t="n">
        <f aca="false">F147+12*H147+I147</f>
        <v>5069.79</v>
      </c>
      <c r="N147" s="8" t="n">
        <f aca="false">G147+12*H147+I147</f>
        <v>5069.79</v>
      </c>
      <c r="O147" s="8" t="n">
        <f aca="false">M147+12*H147+J147</f>
        <v>5149.58</v>
      </c>
      <c r="P147" s="8" t="n">
        <f aca="false">N147+12*H147+J147</f>
        <v>5149.58</v>
      </c>
      <c r="Q147" s="8" t="n">
        <f aca="false">O147+12*K147+J147</f>
        <v>5229.37</v>
      </c>
      <c r="R147" s="8" t="n">
        <f aca="false">P147+12*K147+J147</f>
        <v>5229.37</v>
      </c>
      <c r="S147" s="8" t="n">
        <f aca="false">(M147+N147)/2</f>
        <v>5069.79</v>
      </c>
      <c r="T147" s="8" t="n">
        <f aca="false">(O147+P147)/2</f>
        <v>5149.58</v>
      </c>
      <c r="U147" s="8" t="n">
        <f aca="false">(Q147+R147)/2</f>
        <v>5229.37</v>
      </c>
      <c r="V147" s="7"/>
      <c r="W147" s="22" t="s">
        <v>400</v>
      </c>
      <c r="X147" s="7" t="s">
        <v>163</v>
      </c>
      <c r="Y147" s="7" t="s">
        <v>108</v>
      </c>
      <c r="Z147" s="7" t="s">
        <v>164</v>
      </c>
    </row>
    <row r="148" customFormat="false" ht="15" hidden="false" customHeight="false" outlineLevel="0" collapsed="false">
      <c r="A148" s="7" t="n">
        <v>147</v>
      </c>
      <c r="B148" s="7" t="s">
        <v>35</v>
      </c>
      <c r="C148" s="7" t="s">
        <v>37</v>
      </c>
      <c r="D148" s="7" t="s">
        <v>185</v>
      </c>
      <c r="E148" s="7" t="s">
        <v>417</v>
      </c>
      <c r="F148" s="20" t="n">
        <v>3000</v>
      </c>
      <c r="G148" s="20" t="n">
        <v>4000</v>
      </c>
      <c r="H148" s="20" t="n">
        <v>0</v>
      </c>
      <c r="I148" s="23" t="n">
        <f aca="false">24*12+Hypothèses!$B$10</f>
        <v>299.543588376433</v>
      </c>
      <c r="J148" s="23" t="n">
        <f aca="false">24*12+Hypothèses!$B$10</f>
        <v>299.543588376433</v>
      </c>
      <c r="K148" s="21" t="n">
        <f aca="false">H148</f>
        <v>0</v>
      </c>
      <c r="L148" s="7" t="s">
        <v>106</v>
      </c>
      <c r="M148" s="8" t="n">
        <f aca="false">F148+12*H148+I148</f>
        <v>3299.54358837643</v>
      </c>
      <c r="N148" s="8" t="n">
        <f aca="false">G148+12*H148+I148</f>
        <v>4299.54358837643</v>
      </c>
      <c r="O148" s="8" t="n">
        <f aca="false">M148+12*H148+J148</f>
        <v>3599.08717675287</v>
      </c>
      <c r="P148" s="8" t="n">
        <f aca="false">N148+12*H148+J148</f>
        <v>4599.08717675287</v>
      </c>
      <c r="Q148" s="8" t="n">
        <f aca="false">O148+12*K148+J148</f>
        <v>3898.6307651293</v>
      </c>
      <c r="R148" s="8" t="n">
        <f aca="false">P148+12*K148+J148</f>
        <v>4898.6307651293</v>
      </c>
      <c r="S148" s="8" t="n">
        <f aca="false">(M148+N148)/2</f>
        <v>3799.54358837643</v>
      </c>
      <c r="T148" s="8" t="n">
        <f aca="false">(O148+P148)/2</f>
        <v>4099.08717675287</v>
      </c>
      <c r="U148" s="8" t="n">
        <f aca="false">(Q148+R148)/2</f>
        <v>4398.6307651293</v>
      </c>
      <c r="V148" s="7" t="s">
        <v>418</v>
      </c>
      <c r="W148" s="22" t="s">
        <v>183</v>
      </c>
      <c r="X148" s="7" t="s">
        <v>184</v>
      </c>
      <c r="Y148" s="7" t="s">
        <v>108</v>
      </c>
      <c r="Z148" s="7" t="s">
        <v>188</v>
      </c>
    </row>
    <row r="149" customFormat="false" ht="15" hidden="false" customHeight="false" outlineLevel="0" collapsed="false">
      <c r="A149" s="7" t="n">
        <v>148</v>
      </c>
      <c r="B149" s="7" t="s">
        <v>35</v>
      </c>
      <c r="C149" s="7" t="s">
        <v>37</v>
      </c>
      <c r="D149" s="7" t="s">
        <v>287</v>
      </c>
      <c r="E149" s="7" t="s">
        <v>419</v>
      </c>
      <c r="F149" s="20" t="n">
        <v>4500</v>
      </c>
      <c r="G149" s="20" t="n">
        <v>9000</v>
      </c>
      <c r="H149" s="20" t="n">
        <v>0</v>
      </c>
      <c r="I149" s="23" t="n">
        <f aca="false">Hypothèses!$B$15+Hypothèses!$B$10</f>
        <v>320.79445481205</v>
      </c>
      <c r="J149" s="23" t="n">
        <f aca="false">Hypothèses!$B$15+Hypothèses!$B$10</f>
        <v>320.79445481205</v>
      </c>
      <c r="K149" s="21" t="n">
        <f aca="false">H149</f>
        <v>0</v>
      </c>
      <c r="L149" s="7" t="s">
        <v>106</v>
      </c>
      <c r="M149" s="8" t="n">
        <f aca="false">F149+12*H149+I149</f>
        <v>4820.79445481205</v>
      </c>
      <c r="N149" s="8" t="n">
        <f aca="false">G149+12*H149+I149</f>
        <v>9320.79445481205</v>
      </c>
      <c r="O149" s="8" t="n">
        <f aca="false">M149+12*H149+J149</f>
        <v>5141.5889096241</v>
      </c>
      <c r="P149" s="8" t="n">
        <f aca="false">N149+12*H149+J149</f>
        <v>9641.5889096241</v>
      </c>
      <c r="Q149" s="8" t="n">
        <f aca="false">O149+12*K149+J149</f>
        <v>5462.38336443615</v>
      </c>
      <c r="R149" s="8" t="n">
        <f aca="false">P149+12*K149+J149</f>
        <v>9962.38336443615</v>
      </c>
      <c r="S149" s="8" t="n">
        <f aca="false">(M149+N149)/2</f>
        <v>7070.79445481205</v>
      </c>
      <c r="T149" s="8" t="n">
        <f aca="false">(O149+P149)/2</f>
        <v>7391.5889096241</v>
      </c>
      <c r="U149" s="8" t="n">
        <f aca="false">(Q149+R149)/2</f>
        <v>7712.38336443615</v>
      </c>
      <c r="V149" s="7" t="s">
        <v>420</v>
      </c>
      <c r="W149" s="22" t="s">
        <v>288</v>
      </c>
      <c r="X149" s="7" t="s">
        <v>193</v>
      </c>
      <c r="Y149" s="7" t="s">
        <v>108</v>
      </c>
      <c r="Z149" s="7" t="s">
        <v>164</v>
      </c>
    </row>
    <row r="150" customFormat="false" ht="15" hidden="false" customHeight="false" outlineLevel="0" collapsed="false">
      <c r="A150" s="7" t="n">
        <v>149</v>
      </c>
      <c r="B150" s="7" t="s">
        <v>35</v>
      </c>
      <c r="C150" s="7" t="s">
        <v>37</v>
      </c>
      <c r="D150" s="7" t="s">
        <v>294</v>
      </c>
      <c r="E150" s="7" t="s">
        <v>421</v>
      </c>
      <c r="F150" s="20" t="n">
        <v>5000</v>
      </c>
      <c r="G150" s="20" t="n">
        <v>20000</v>
      </c>
      <c r="H150" s="20" t="n">
        <v>0</v>
      </c>
      <c r="I150" s="23" t="n">
        <f aca="false">Hypothèses!$B$14</f>
        <v>79.79</v>
      </c>
      <c r="J150" s="23" t="n">
        <f aca="false">Hypothèses!$B$14</f>
        <v>79.79</v>
      </c>
      <c r="K150" s="21" t="n">
        <f aca="false">H150</f>
        <v>0</v>
      </c>
      <c r="L150" s="7" t="s">
        <v>106</v>
      </c>
      <c r="M150" s="8" t="n">
        <f aca="false">F150+12*H150+I150</f>
        <v>5079.79</v>
      </c>
      <c r="N150" s="8" t="n">
        <f aca="false">G150+12*H150+I150</f>
        <v>20079.79</v>
      </c>
      <c r="O150" s="8" t="n">
        <f aca="false">M150+12*H150+J150</f>
        <v>5159.58</v>
      </c>
      <c r="P150" s="8" t="n">
        <f aca="false">N150+12*H150+J150</f>
        <v>20159.58</v>
      </c>
      <c r="Q150" s="8" t="n">
        <f aca="false">O150+12*K150+J150</f>
        <v>5239.37</v>
      </c>
      <c r="R150" s="8" t="n">
        <f aca="false">P150+12*K150+J150</f>
        <v>20239.37</v>
      </c>
      <c r="S150" s="8" t="n">
        <f aca="false">(M150+N150)/2</f>
        <v>12579.79</v>
      </c>
      <c r="T150" s="8" t="n">
        <f aca="false">(O150+P150)/2</f>
        <v>12659.58</v>
      </c>
      <c r="U150" s="8" t="n">
        <f aca="false">(Q150+R150)/2</f>
        <v>12739.37</v>
      </c>
      <c r="V150" s="7" t="s">
        <v>218</v>
      </c>
      <c r="W150" s="22" t="s">
        <v>196</v>
      </c>
      <c r="X150" s="7" t="s">
        <v>184</v>
      </c>
      <c r="Y150" s="7" t="s">
        <v>108</v>
      </c>
      <c r="Z150" s="7" t="s">
        <v>164</v>
      </c>
    </row>
    <row r="151" customFormat="false" ht="15" hidden="false" customHeight="false" outlineLevel="0" collapsed="false">
      <c r="A151" s="7" t="n">
        <v>150</v>
      </c>
      <c r="B151" s="7" t="s">
        <v>35</v>
      </c>
      <c r="C151" s="7" t="s">
        <v>37</v>
      </c>
      <c r="D151" s="7" t="s">
        <v>221</v>
      </c>
      <c r="E151" s="7" t="s">
        <v>422</v>
      </c>
      <c r="F151" s="20" t="n">
        <v>3000</v>
      </c>
      <c r="G151" s="20" t="n">
        <v>3000</v>
      </c>
      <c r="H151" s="20" t="n">
        <v>0</v>
      </c>
      <c r="I151" s="23" t="n">
        <f aca="false">Hypothèses!$B$14</f>
        <v>79.79</v>
      </c>
      <c r="J151" s="23" t="n">
        <f aca="false">Hypothèses!$B$14</f>
        <v>79.79</v>
      </c>
      <c r="K151" s="21" t="n">
        <f aca="false">H151</f>
        <v>0</v>
      </c>
      <c r="L151" s="7" t="s">
        <v>106</v>
      </c>
      <c r="M151" s="8" t="n">
        <f aca="false">F151+12*H151+I151</f>
        <v>3079.79</v>
      </c>
      <c r="N151" s="8" t="n">
        <f aca="false">G151+12*H151+I151</f>
        <v>3079.79</v>
      </c>
      <c r="O151" s="8" t="n">
        <f aca="false">M151+12*H151+J151</f>
        <v>3159.58</v>
      </c>
      <c r="P151" s="8" t="n">
        <f aca="false">N151+12*H151+J151</f>
        <v>3159.58</v>
      </c>
      <c r="Q151" s="8" t="n">
        <f aca="false">O151+12*K151+J151</f>
        <v>3239.37</v>
      </c>
      <c r="R151" s="8" t="n">
        <f aca="false">P151+12*K151+J151</f>
        <v>3239.37</v>
      </c>
      <c r="S151" s="8" t="n">
        <f aca="false">(M151+N151)/2</f>
        <v>3079.79</v>
      </c>
      <c r="T151" s="8" t="n">
        <f aca="false">(O151+P151)/2</f>
        <v>3159.58</v>
      </c>
      <c r="U151" s="8" t="n">
        <f aca="false">(Q151+R151)/2</f>
        <v>3239.37</v>
      </c>
      <c r="V151" s="7" t="s">
        <v>218</v>
      </c>
      <c r="W151" s="22" t="s">
        <v>223</v>
      </c>
      <c r="X151" s="7" t="s">
        <v>184</v>
      </c>
      <c r="Y151" s="7" t="s">
        <v>108</v>
      </c>
      <c r="Z151" s="7" t="s">
        <v>164</v>
      </c>
    </row>
    <row r="152" customFormat="false" ht="15" hidden="false" customHeight="false" outlineLevel="0" collapsed="false">
      <c r="A152" s="7" t="n">
        <v>151</v>
      </c>
      <c r="B152" s="7" t="s">
        <v>35</v>
      </c>
      <c r="C152" s="7" t="s">
        <v>37</v>
      </c>
      <c r="D152" s="7" t="s">
        <v>423</v>
      </c>
      <c r="E152" s="7" t="s">
        <v>424</v>
      </c>
      <c r="F152" s="20" t="n">
        <v>10000</v>
      </c>
      <c r="G152" s="20" t="n">
        <v>10000</v>
      </c>
      <c r="H152" s="20" t="n">
        <v>0</v>
      </c>
      <c r="I152" s="23" t="n">
        <f aca="false">Hypothèses!$B$14</f>
        <v>79.79</v>
      </c>
      <c r="J152" s="23" t="n">
        <f aca="false">Hypothèses!$B$14</f>
        <v>79.79</v>
      </c>
      <c r="K152" s="21" t="n">
        <f aca="false">H152</f>
        <v>0</v>
      </c>
      <c r="L152" s="7" t="s">
        <v>106</v>
      </c>
      <c r="M152" s="8" t="n">
        <f aca="false">F152+12*H152+I152</f>
        <v>10079.79</v>
      </c>
      <c r="N152" s="8" t="n">
        <f aca="false">G152+12*H152+I152</f>
        <v>10079.79</v>
      </c>
      <c r="O152" s="8" t="n">
        <f aca="false">M152+12*H152+J152</f>
        <v>10159.58</v>
      </c>
      <c r="P152" s="8" t="n">
        <f aca="false">N152+12*H152+J152</f>
        <v>10159.58</v>
      </c>
      <c r="Q152" s="8" t="n">
        <f aca="false">O152+12*K152+J152</f>
        <v>10239.37</v>
      </c>
      <c r="R152" s="8" t="n">
        <f aca="false">P152+12*K152+J152</f>
        <v>10239.37</v>
      </c>
      <c r="S152" s="8" t="n">
        <f aca="false">(M152+N152)/2</f>
        <v>10079.79</v>
      </c>
      <c r="T152" s="8" t="n">
        <f aca="false">(O152+P152)/2</f>
        <v>10159.58</v>
      </c>
      <c r="U152" s="8" t="n">
        <f aca="false">(Q152+R152)/2</f>
        <v>10239.37</v>
      </c>
      <c r="V152" s="7" t="s">
        <v>425</v>
      </c>
      <c r="W152" s="22" t="s">
        <v>288</v>
      </c>
      <c r="X152" s="7" t="s">
        <v>184</v>
      </c>
      <c r="Y152" s="7" t="s">
        <v>108</v>
      </c>
      <c r="Z152" s="7" t="s">
        <v>164</v>
      </c>
    </row>
    <row r="153" customFormat="false" ht="15" hidden="false" customHeight="false" outlineLevel="0" collapsed="false">
      <c r="A153" s="7" t="n">
        <v>152</v>
      </c>
      <c r="B153" s="7" t="s">
        <v>35</v>
      </c>
      <c r="C153" s="7" t="s">
        <v>37</v>
      </c>
      <c r="D153" s="7" t="s">
        <v>398</v>
      </c>
      <c r="E153" s="7" t="s">
        <v>426</v>
      </c>
      <c r="F153" s="20" t="n">
        <v>8000</v>
      </c>
      <c r="G153" s="20" t="n">
        <v>8000</v>
      </c>
      <c r="H153" s="20" t="n">
        <v>0</v>
      </c>
      <c r="I153" s="23" t="n">
        <f aca="false">Hypothèses!$B$14</f>
        <v>79.79</v>
      </c>
      <c r="J153" s="23" t="n">
        <f aca="false">Hypothèses!$B$14</f>
        <v>79.79</v>
      </c>
      <c r="K153" s="21" t="n">
        <f aca="false">H153</f>
        <v>0</v>
      </c>
      <c r="L153" s="7" t="s">
        <v>106</v>
      </c>
      <c r="M153" s="8" t="n">
        <f aca="false">F153+12*H153+I153</f>
        <v>8079.79</v>
      </c>
      <c r="N153" s="8" t="n">
        <f aca="false">G153+12*H153+I153</f>
        <v>8079.79</v>
      </c>
      <c r="O153" s="8" t="n">
        <f aca="false">M153+12*H153+J153</f>
        <v>8159.58</v>
      </c>
      <c r="P153" s="8" t="n">
        <f aca="false">N153+12*H153+J153</f>
        <v>8159.58</v>
      </c>
      <c r="Q153" s="8" t="n">
        <f aca="false">O153+12*K153+J153</f>
        <v>8239.37</v>
      </c>
      <c r="R153" s="8" t="n">
        <f aca="false">P153+12*K153+J153</f>
        <v>8239.37</v>
      </c>
      <c r="S153" s="8" t="n">
        <f aca="false">(M153+N153)/2</f>
        <v>8079.79</v>
      </c>
      <c r="T153" s="8" t="n">
        <f aca="false">(O153+P153)/2</f>
        <v>8159.58</v>
      </c>
      <c r="U153" s="8" t="n">
        <f aca="false">(Q153+R153)/2</f>
        <v>8239.37</v>
      </c>
      <c r="V153" s="7" t="s">
        <v>427</v>
      </c>
      <c r="W153" s="22" t="s">
        <v>400</v>
      </c>
      <c r="X153" s="7" t="s">
        <v>163</v>
      </c>
      <c r="Y153" s="7" t="s">
        <v>108</v>
      </c>
      <c r="Z153" s="7" t="s">
        <v>109</v>
      </c>
    </row>
    <row r="154" customFormat="false" ht="15" hidden="false" customHeight="false" outlineLevel="0" collapsed="false">
      <c r="A154" s="7" t="n">
        <v>153</v>
      </c>
      <c r="B154" s="7" t="s">
        <v>35</v>
      </c>
      <c r="C154" s="7" t="s">
        <v>37</v>
      </c>
      <c r="D154" s="7" t="s">
        <v>357</v>
      </c>
      <c r="E154" s="7" t="s">
        <v>428</v>
      </c>
      <c r="F154" s="20" t="n">
        <v>8000</v>
      </c>
      <c r="G154" s="20" t="n">
        <v>8000</v>
      </c>
      <c r="H154" s="20" t="n">
        <v>0</v>
      </c>
      <c r="I154" s="23" t="n">
        <f aca="false">Hypothèses!$B$14</f>
        <v>79.79</v>
      </c>
      <c r="J154" s="23" t="n">
        <f aca="false">Hypothèses!$B$14</f>
        <v>79.79</v>
      </c>
      <c r="K154" s="21" t="n">
        <f aca="false">H154</f>
        <v>0</v>
      </c>
      <c r="L154" s="7" t="s">
        <v>106</v>
      </c>
      <c r="M154" s="8" t="n">
        <f aca="false">F154+12*H154+I154</f>
        <v>8079.79</v>
      </c>
      <c r="N154" s="8" t="n">
        <f aca="false">G154+12*H154+I154</f>
        <v>8079.79</v>
      </c>
      <c r="O154" s="8" t="n">
        <f aca="false">M154+12*H154+J154</f>
        <v>8159.58</v>
      </c>
      <c r="P154" s="8" t="n">
        <f aca="false">N154+12*H154+J154</f>
        <v>8159.58</v>
      </c>
      <c r="Q154" s="8" t="n">
        <f aca="false">O154+12*K154+J154</f>
        <v>8239.37</v>
      </c>
      <c r="R154" s="8" t="n">
        <f aca="false">P154+12*K154+J154</f>
        <v>8239.37</v>
      </c>
      <c r="S154" s="8" t="n">
        <f aca="false">(M154+N154)/2</f>
        <v>8079.79</v>
      </c>
      <c r="T154" s="8" t="n">
        <f aca="false">(O154+P154)/2</f>
        <v>8159.58</v>
      </c>
      <c r="U154" s="8" t="n">
        <f aca="false">(Q154+R154)/2</f>
        <v>8239.37</v>
      </c>
      <c r="V154" s="7" t="s">
        <v>429</v>
      </c>
      <c r="W154" s="22" t="s">
        <v>213</v>
      </c>
      <c r="X154" s="7" t="s">
        <v>184</v>
      </c>
      <c r="Y154" s="7" t="s">
        <v>108</v>
      </c>
      <c r="Z154" s="7" t="s">
        <v>109</v>
      </c>
    </row>
    <row r="155" customFormat="false" ht="15" hidden="false" customHeight="false" outlineLevel="0" collapsed="false">
      <c r="A155" s="7" t="n">
        <v>154</v>
      </c>
      <c r="B155" s="7" t="s">
        <v>35</v>
      </c>
      <c r="C155" s="7" t="s">
        <v>37</v>
      </c>
      <c r="D155" s="7" t="s">
        <v>346</v>
      </c>
      <c r="E155" s="7" t="s">
        <v>430</v>
      </c>
      <c r="F155" s="20" t="n">
        <v>6000</v>
      </c>
      <c r="G155" s="20" t="n">
        <v>45000</v>
      </c>
      <c r="H155" s="20" t="n">
        <v>0</v>
      </c>
      <c r="I155" s="23" t="n">
        <f aca="false">Hypothèses!$B$14</f>
        <v>79.79</v>
      </c>
      <c r="J155" s="23" t="n">
        <f aca="false">Hypothèses!$B$14</f>
        <v>79.79</v>
      </c>
      <c r="K155" s="21" t="n">
        <f aca="false">H155</f>
        <v>0</v>
      </c>
      <c r="L155" s="7" t="s">
        <v>106</v>
      </c>
      <c r="M155" s="8" t="n">
        <f aca="false">F155+12*H155+I155</f>
        <v>6079.79</v>
      </c>
      <c r="N155" s="8" t="n">
        <f aca="false">G155+12*H155+I155</f>
        <v>45079.79</v>
      </c>
      <c r="O155" s="8" t="n">
        <f aca="false">M155+12*H155+J155</f>
        <v>6159.58</v>
      </c>
      <c r="P155" s="8" t="n">
        <f aca="false">N155+12*H155+J155</f>
        <v>45159.58</v>
      </c>
      <c r="Q155" s="8" t="n">
        <f aca="false">O155+12*K155+J155</f>
        <v>6239.37</v>
      </c>
      <c r="R155" s="8" t="n">
        <f aca="false">P155+12*K155+J155</f>
        <v>45239.37</v>
      </c>
      <c r="S155" s="8" t="n">
        <f aca="false">(M155+N155)/2</f>
        <v>25579.79</v>
      </c>
      <c r="T155" s="8" t="n">
        <f aca="false">(O155+P155)/2</f>
        <v>25659.58</v>
      </c>
      <c r="U155" s="8" t="n">
        <f aca="false">(Q155+R155)/2</f>
        <v>25739.37</v>
      </c>
      <c r="V155" s="7" t="s">
        <v>431</v>
      </c>
      <c r="W155" s="22" t="s">
        <v>349</v>
      </c>
      <c r="X155" s="7" t="s">
        <v>350</v>
      </c>
      <c r="Y155" s="7" t="s">
        <v>108</v>
      </c>
      <c r="Z155" s="7" t="s">
        <v>109</v>
      </c>
    </row>
  </sheetData>
  <autoFilter ref="A1:Z155"/>
  <hyperlinks>
    <hyperlink ref="W3" r:id="rId1" display="https://www.lafabriquedunet.fr/blog/prix-site-wix/"/>
    <hyperlink ref="W4" r:id="rId2" display="https://www.lafabriquedunet.fr/logiciels/alternatives/alternative-wix"/>
    <hyperlink ref="W5" r:id="rId3" display="https://www.lafabriquedunet.fr/logiciels/alternatives/alternative-wix"/>
    <hyperlink ref="W6" r:id="rId4" display="https://www.webador.fr/tarifs"/>
    <hyperlink ref="W7" r:id="rId5" display="https://wordpress.com/fr/pricing/"/>
    <hyperlink ref="W8" r:id="rId6" display="https://www.tooltester.com/fr/outils-de-creation-de-site-web/"/>
    <hyperlink ref="W9" r:id="rId7" display="https://www.tooltester.com/fr/outils-de-creation-de-site-web/"/>
    <hyperlink ref="W10" r:id="rId8" display="https://www.tooltester.com/fr/outils-de-creation-de-site-web/"/>
    <hyperlink ref="W11" r:id="rId9" display="https://www.tooltester.com/fr/outils-de-creation-de-site-web/"/>
    <hyperlink ref="W12" r:id="rId10" display="https://www.tooltester.com/fr/outils-de-creation-de-site-web/"/>
    <hyperlink ref="W13" r:id="rId11" display="https://www.tooltester.com/fr/outils-de-creation-de-site-web/"/>
    <hyperlink ref="W14" r:id="rId12" display="https://www.tooltester.com/fr/outils-de-creation-de-site-web/"/>
    <hyperlink ref="W15" r:id="rId13" display="https://www.tooltester.com/fr/outils-de-creation-de-site-web/"/>
    <hyperlink ref="W16" r:id="rId14" display="https://www.journaldugeek.com/createur-site/"/>
    <hyperlink ref="W17" r:id="rId15" display="https://www.lafabriquedunet.fr/logiciels/alternatives/alternative-wix"/>
    <hyperlink ref="W18" r:id="rId16" display="https://www.tooltester.com/fr/outils-de-creation-de-site-web/"/>
    <hyperlink ref="W19" r:id="rId17" display="https://vorlyxstudio.fr/tarifs-creation-site-internet"/>
    <hyperlink ref="W20" r:id="rId18" display="https://mywebcreatorfr.fr/creation-site-internet.html"/>
    <hyperlink ref="W21" r:id="rId19" display="https://www.fast-net.io/guides/prix-site-one-page-2026.html"/>
    <hyperlink ref="W22" r:id="rId20" display="https://www.geekstinct.fr/combien-coute-un-site-vitrine-pour-un-artisan-a-pierrelatte"/>
    <hyperlink ref="W23" r:id="rId21" display="https://www.geekstinct.fr/combien-coute-un-site-vitrine-pour-un-artisan-a-pierrelatte"/>
    <hyperlink ref="W24" r:id="rId22" display="https://traxo.fr/blog/creation-site-internet-reims"/>
    <hyperlink ref="W25" r:id="rId23" display="https://traxo.fr/blog/creation-site-internet-reims"/>
    <hyperlink ref="W26" r:id="rId24" display="https://www.agencedromoise.fr/blog/prix-site-vitrine-2026/"/>
    <hyperlink ref="W27" r:id="rId25" display="https://www.trend-design.fr/post/prix-creation-site-internet"/>
    <hyperlink ref="W28" r:id="rId26" display="https://www.okiweb.fr/tarifs/vitrine"/>
    <hyperlink ref="W29" r:id="rId27" display="https://maboiteweb.fr/offres-et-tarifs/"/>
    <hyperlink ref="W30" r:id="rId28" display="https://tekitoi.fr/blog/prix-site-internet-2026/"/>
    <hyperlink ref="W31" r:id="rId29" display="https://agence-freelink.fr/combien-coute-un-site-internet/"/>
    <hyperlink ref="W32" r:id="rId30" display="https://tekitoi.fr/blog/prix-site-internet-2026/"/>
    <hyperlink ref="W33" r:id="rId31" display="https://www.fast-net.io/guides/prix-site-one-page-2026.html"/>
    <hyperlink ref="W34" r:id="rId32" display="https://www.moceri.fr/prix-creation-site-internet/"/>
    <hyperlink ref="W35" r:id="rId33" display="https://www.agencedromoise.fr/blog/prix-site-vitrine-2026/"/>
    <hyperlink ref="W36" r:id="rId34" display="https://www.clicorama.fr/offre-site-e-commerce/"/>
    <hyperlink ref="W37" r:id="rId35" display="https://www.webab.fr/"/>
    <hyperlink ref="W38" r:id="rId36" display="https://www.artisan-en-ligne.fr/"/>
    <hyperlink ref="W39" r:id="rId37" display="https://www.geekstinct.fr/combien-coute-un-site-vitrine-pour-un-artisan-a-pierrelatte"/>
    <hyperlink ref="W40" r:id="rId38" display="https://traxo.fr/blog/creation-site-internet-reims"/>
    <hyperlink ref="W41" r:id="rId39" display="https://independant.io/avis/simplebo/"/>
    <hyperlink ref="W42" r:id="rId40" display="https://7monsite.fr/pricing"/>
    <hyperlink ref="W43" r:id="rId41" display="https://pyje.fr/creation-site-internet-acces"/>
    <hyperlink ref="W44" r:id="rId42" display="https://taoz.fr/prix-site-vitrine-2026/"/>
    <hyperlink ref="W45" r:id="rId43" display="https://pontonweb.fr/tarifs/tarif-forfait-creation-de-site-artisan-commercant-pme.html"/>
    <hyperlink ref="W46" r:id="rId44" display="https://webtensor.fr/creation-site-web-artisan"/>
    <hyperlink ref="W47" r:id="rId45" display="https://lartisanconnecte.io/"/>
    <hyperlink ref="W48" r:id="rId46" display="https://www.sitetoclient.com/"/>
    <hyperlink ref="W49" r:id="rId47" display="https://www.webgazelle.net/forfait-tout-compris.php"/>
    <hyperlink ref="W50" r:id="rId48" display="https://webcrew.agency/ressources/prix-site-internet"/>
    <hyperlink ref="W51" r:id="rId49" display="https://residual-labs.fr/blog/prix-site-internet-artisan"/>
    <hyperlink ref="W52" r:id="rId50" display="https://www.geekstinct.fr/combien-coute-un-site-vitrine-pour-un-artisan-a-pierrelatte"/>
    <hyperlink ref="W53" r:id="rId51" display="https://www.trend-design.fr/post/prix-creation-site-internet"/>
    <hyperlink ref="W54" r:id="rId52" display="https://www.fast-net.io/guides/prix-site-one-page-2026.html"/>
    <hyperlink ref="W56" r:id="rId53" display="https://www.lafabriquedunet.fr/blog/prix-site-wix/"/>
    <hyperlink ref="W57" r:id="rId54" display="https://www.lafabriquedunet.fr/logiciels/alternatives/alternative-wix"/>
    <hyperlink ref="W58" r:id="rId55" display="https://www.lafabriquedunet.fr/logiciels/alternatives/alternative-wix"/>
    <hyperlink ref="W59" r:id="rId56" display="https://www.webador.fr/tarifs"/>
    <hyperlink ref="W60" r:id="rId57" display="https://wordpress.com/fr/pricing/"/>
    <hyperlink ref="W61" r:id="rId58" display="https://www.tooltester.com/fr/outils-de-creation-de-site-web/"/>
    <hyperlink ref="W62" r:id="rId59" display="https://www.tooltester.com/fr/outils-de-creation-de-site-web/"/>
    <hyperlink ref="W63" r:id="rId60" display="https://www.tooltester.com/fr/outils-de-creation-de-site-web/"/>
    <hyperlink ref="W64" r:id="rId61" display="https://www.tooltester.com/fr/outils-de-creation-de-site-web/"/>
    <hyperlink ref="W65" r:id="rId62" display="https://www.tooltester.com/fr/outils-de-creation-de-site-web/"/>
    <hyperlink ref="W66" r:id="rId63" display="https://www.tooltester.com/fr/outils-de-creation-de-site-web/"/>
    <hyperlink ref="W67" r:id="rId64" display="https://www.tooltester.com/fr/outils-de-creation-de-site-web/"/>
    <hyperlink ref="W68" r:id="rId65" display="https://www.tooltester.com/fr/outils-de-creation-de-site-web/"/>
    <hyperlink ref="W69" r:id="rId66" display="https://www.journaldugeek.com/createur-site/"/>
    <hyperlink ref="W70" r:id="rId67" display="https://www.lafabriquedunet.fr/logiciels/alternatives/alternative-wix"/>
    <hyperlink ref="W71" r:id="rId68" display="https://www.tooltester.com/fr/outils-de-creation-de-site-web/"/>
    <hyperlink ref="W72" r:id="rId69" display="https://vorlyxstudio.fr/tarifs-creation-site-internet"/>
    <hyperlink ref="W73" r:id="rId70" display="https://mywebcreatorfr.fr/creation-site-internet.html"/>
    <hyperlink ref="W74" r:id="rId71" display="https://www.fast-net.io/guides/prix-site-one-page-2026.html"/>
    <hyperlink ref="W75" r:id="rId72" display="https://traxo.fr/blog/creation-site-internet-reims"/>
    <hyperlink ref="W76" r:id="rId73" display="https://traxo.fr/blog/creation-site-internet-reims"/>
    <hyperlink ref="W77" r:id="rId74" display="https://www.agencedromoise.fr/blog/prix-site-vitrine-2026/"/>
    <hyperlink ref="W78" r:id="rId75" display="https://traxo.fr/blog/creation-site-internet-reims"/>
    <hyperlink ref="W79" r:id="rId76" display="https://agence-freelink.fr/combien-coute-un-site-internet/"/>
    <hyperlink ref="W80" r:id="rId77" display="https://pontonweb.fr/tarifs/tarif-forfait-creation-de-site-artisan-commercant-pme.html"/>
    <hyperlink ref="W81" r:id="rId78" display="https://www.trend-design.fr/post/prix-creation-site-internet"/>
    <hyperlink ref="W82" r:id="rId79" display="https://www.codeur.com/pages/quel-prix-site-vitrine"/>
    <hyperlink ref="W83" r:id="rId80" display="https://www.agencedromoise.fr/blog/prix-site-vitrine-2026/"/>
    <hyperlink ref="W84" r:id="rId81" display="https://www.clicorama.fr/offre-site-e-commerce/"/>
    <hyperlink ref="W85" r:id="rId82" display="https://www.webab.fr/"/>
    <hyperlink ref="W86" r:id="rId83" display="https://www.artisan-en-ligne.fr/"/>
    <hyperlink ref="W87" r:id="rId84" display="https://independant.io/avis/simplebo/"/>
    <hyperlink ref="W88" r:id="rId85" display="https://independant.io/avis/simplebo/"/>
    <hyperlink ref="W89" r:id="rId86" display="https://7monsite.fr/pricing"/>
    <hyperlink ref="W90" r:id="rId87" display="https://pyje.fr/creation-site-internet-acces"/>
    <hyperlink ref="W91" r:id="rId88" display="https://taoz.fr/prix-site-vitrine-2026/"/>
    <hyperlink ref="W92" r:id="rId89" display="https://taoz.fr/prix-site-vitrine-2026/"/>
    <hyperlink ref="W93" r:id="rId90" display="https://pontonweb.fr/tarifs/tarif-forfait-creation-de-site-artisan-commercant-pme.html"/>
    <hyperlink ref="W94" r:id="rId91" display="https://webtensor.fr/creation-site-web-artisan"/>
    <hyperlink ref="W95" r:id="rId92" display="https://lartisanconnecte.io/"/>
    <hyperlink ref="W96" r:id="rId93" display="https://www.webgazelle.net/forfait-tout-compris.php"/>
    <hyperlink ref="W97" r:id="rId94" display="https://www.webiteasy.fr/creation-site-vitrine/"/>
    <hyperlink ref="W98" r:id="rId95" display="https://www.trend-design.fr/post/prix-creation-site-internet"/>
    <hyperlink ref="W99" r:id="rId96" display="https://maboiteweb.fr/offres-et-tarifs/"/>
    <hyperlink ref="W100" r:id="rId97" display="https://tekitoi.fr/blog/prix-site-internet-2026/"/>
    <hyperlink ref="W101" r:id="rId98" display="https://webcrew.agency/ressources/prix-site-internet"/>
    <hyperlink ref="W102" r:id="rId99" display="https://www.moceri.fr/prix-creation-site-internet/"/>
    <hyperlink ref="W103" r:id="rId100" display="https://residual-labs.fr/blog/prix-site-internet-artisan"/>
    <hyperlink ref="W104" r:id="rId101" display="https://www.lafabriquedunet.fr/creation-site-vitrine/articles/combien-coute-creation-site-vitrine/"/>
    <hyperlink ref="W105" r:id="rId102" display="https://www.lafabriquedunet.fr/creation-site-vitrine/articles/combien-coute-creation-site-vitrine/"/>
    <hyperlink ref="W106" r:id="rId103" display="https://kolonell.com/fr/blog/combien-coute-site-vitrine-5-pages-artisan-btp-toulouse-2026"/>
    <hyperlink ref="W107" r:id="rId104" display="https://www.trend-design.fr/post/prix-creation-site-internet"/>
    <hyperlink ref="W108" r:id="rId105" display="https://www.agencedromoise.fr/blog/prix-site-vitrine-2026/"/>
    <hyperlink ref="W109" r:id="rId106" display="https://agence-freelink.fr/combien-coute-un-site-internet/"/>
    <hyperlink ref="W110" r:id="rId107" display="https://www.codeur.com/pages/quel-prix-site-vitrine"/>
    <hyperlink ref="W111" r:id="rId108" display="https://www.agencedromoise.fr/blog/prix-site-vitrine-2026/"/>
    <hyperlink ref="W112" r:id="rId109" display="https://www.fast-net.io/guides/prix-site-one-page-2026.html"/>
    <hyperlink ref="W113" r:id="rId110" display="https://www.lafabriquedunet.fr/creation-site-vitrine/articles/combien-coute-creation-site-vitrine/"/>
    <hyperlink ref="W114" r:id="rId111" display="https://www.trend-design.fr/post/prix-creation-site-internet"/>
    <hyperlink ref="W115" r:id="rId112" display="https://www.trend-design.fr/post/prix-creation-site-internet"/>
    <hyperlink ref="W117" r:id="rId113" display="https://www.lafabriquedunet.fr/blog/prix-site-wix/"/>
    <hyperlink ref="W118" r:id="rId114" display="https://www.lafabriquedunet.fr/logiciels/alternatives/alternative-wix"/>
    <hyperlink ref="W119" r:id="rId115" display="https://www.webador.fr/tarifs"/>
    <hyperlink ref="W120" r:id="rId116" display="https://wordpress.com/fr/pricing/"/>
    <hyperlink ref="W121" r:id="rId117" display="https://www.tooltester.com/fr/outils-de-creation-de-site-web/"/>
    <hyperlink ref="W122" r:id="rId118" display="https://www.tooltester.com/fr/outils-de-creation-de-site-web/"/>
    <hyperlink ref="W123" r:id="rId119" display="https://www.tooltester.com/fr/outils-de-creation-de-site-web/"/>
    <hyperlink ref="W124" r:id="rId120" display="https://www.tooltester.com/fr/outils-de-creation-de-site-web/"/>
    <hyperlink ref="W125" r:id="rId121" display="https://www.tooltester.com/fr/outils-de-creation-de-site-web/"/>
    <hyperlink ref="W126" r:id="rId122" display="https://www.tooltester.com/fr/outils-de-creation-de-site-web/"/>
    <hyperlink ref="W127" r:id="rId123" display="https://www.journaldugeek.com/createur-site/"/>
    <hyperlink ref="W128" r:id="rId124" display="https://www.shopify.com/fr/tarifs"/>
    <hyperlink ref="W129" r:id="rId125" display="https://www.shopify.com/fr/tarifs"/>
    <hyperlink ref="W130" r:id="rId126" display="https://www.wizishop.fr/go/tarifs"/>
    <hyperlink ref="W131" r:id="rId127" display="https://www.wizishop.fr/go/tarifs"/>
    <hyperlink ref="W132" r:id="rId128" display="https://www.okiweb.fr/tarifs/vitrine"/>
    <hyperlink ref="W133" r:id="rId129" display="https://traxo.fr/blog/creation-site-internet-reims"/>
    <hyperlink ref="W134" r:id="rId130" display="https://www.trend-design.fr/post/prix-creation-site-internet"/>
    <hyperlink ref="W135" r:id="rId131" display="https://pontonweb.fr/tarifs/tarif-forfait-creation-de-site-artisan-commercant-pme.html"/>
    <hyperlink ref="W136" r:id="rId132" display="https://le-site-francais.fr/creation-site-internet/site-e-commerce/"/>
    <hyperlink ref="W137" r:id="rId133" display="https://www.agencedromoise.fr/blog/prix-site-vitrine-2026/"/>
    <hyperlink ref="W138" r:id="rId134" display="https://www.123web.fr/prix-site-ecommerce"/>
    <hyperlink ref="W139" r:id="rId135" display="https://www.trend-design.fr/post/prix-creation-site-internet"/>
    <hyperlink ref="W140" r:id="rId136" display="https://www.clicorama.fr/offre-site-e-commerce/"/>
    <hyperlink ref="W141" r:id="rId137" display="https://le-site-francais.fr/creation-site-internet/site-e-commerce/"/>
    <hyperlink ref="W142" r:id="rId138" display="https://pontonweb.fr/tarifs/tarif-forfait-creation-de-site-artisan-commercant-pme.html"/>
    <hyperlink ref="W143" r:id="rId139" display="https://boutiquepro.orange.fr/internet/options-internet/creation-site-ecommerce"/>
    <hyperlink ref="W144" r:id="rId140" display="https://www.webab.fr/"/>
    <hyperlink ref="W145" r:id="rId141" display="https://maboiteweb.fr/offres-et-tarifs/"/>
    <hyperlink ref="W146" r:id="rId142" display="https://www.123web.fr/prix-site-ecommerce"/>
    <hyperlink ref="W147" r:id="rId143" display="https://www.123web.fr/prix-site-ecommerce"/>
    <hyperlink ref="W148" r:id="rId144" display="https://traxo.fr/blog/creation-site-internet-reims"/>
    <hyperlink ref="W149" r:id="rId145" display="https://webcrew.agency/ressources/prix-site-internet"/>
    <hyperlink ref="W150" r:id="rId146" display="https://www.trend-design.fr/post/prix-creation-site-internet"/>
    <hyperlink ref="W151" r:id="rId147" display="https://www.moceri.fr/prix-creation-site-internet/"/>
    <hyperlink ref="W152" r:id="rId148" display="https://webcrew.agency/ressources/prix-site-internet"/>
    <hyperlink ref="W153" r:id="rId149" display="https://www.123web.fr/prix-site-ecommerce"/>
    <hyperlink ref="W154" r:id="rId150" display="https://agence-freelink.fr/combien-coute-un-site-internet/"/>
    <hyperlink ref="W155" r:id="rId151" display="https://www.lafabriquedunet.fr/creation-site-vitrine/articles/combien-coute-creation-site-vitrine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5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6" min="3" style="0" width="14"/>
    <col collapsed="false" customWidth="true" hidden="false" outlineLevel="0" max="7" min="7" style="0" width="40"/>
    <col collapsed="false" customWidth="true" hidden="false" outlineLevel="0" max="8" min="8" style="0" width="70"/>
  </cols>
  <sheetData>
    <row r="1" customFormat="false" ht="17.35" hidden="false" customHeight="false" outlineLevel="0" collapsed="false">
      <c r="A1" s="1" t="s">
        <v>432</v>
      </c>
    </row>
    <row r="2" customFormat="false" ht="15" hidden="false" customHeight="false" outlineLevel="0" collapsed="false">
      <c r="A2" s="3" t="s">
        <v>433</v>
      </c>
    </row>
    <row r="4" customFormat="false" ht="15" hidden="false" customHeight="false" outlineLevel="0" collapsed="false">
      <c r="A4" s="9" t="s">
        <v>80</v>
      </c>
      <c r="B4" s="9" t="s">
        <v>434</v>
      </c>
      <c r="C4" s="9" t="s">
        <v>435</v>
      </c>
      <c r="D4" s="9" t="s">
        <v>436</v>
      </c>
      <c r="E4" s="9" t="s">
        <v>437</v>
      </c>
      <c r="F4" s="9" t="s">
        <v>438</v>
      </c>
      <c r="G4" s="9" t="s">
        <v>439</v>
      </c>
      <c r="H4" s="9" t="s">
        <v>99</v>
      </c>
    </row>
    <row r="5" customFormat="false" ht="15" hidden="false" customHeight="false" outlineLevel="0" collapsed="false">
      <c r="A5" s="7" t="s">
        <v>165</v>
      </c>
      <c r="B5" s="7" t="s">
        <v>440</v>
      </c>
      <c r="C5" s="20" t="n">
        <v>39</v>
      </c>
      <c r="D5" s="20" t="n">
        <v>39</v>
      </c>
      <c r="E5" s="21" t="n">
        <f aca="false">(C5+D5)/2</f>
        <v>39</v>
      </c>
      <c r="F5" s="7" t="s">
        <v>441</v>
      </c>
      <c r="G5" s="7" t="s">
        <v>442</v>
      </c>
      <c r="H5" s="24" t="s">
        <v>166</v>
      </c>
    </row>
    <row r="6" customFormat="false" ht="15" hidden="false" customHeight="false" outlineLevel="0" collapsed="false">
      <c r="A6" s="7" t="s">
        <v>202</v>
      </c>
      <c r="B6" s="7" t="s">
        <v>440</v>
      </c>
      <c r="C6" s="20" t="n">
        <v>55</v>
      </c>
      <c r="D6" s="20" t="n">
        <v>55</v>
      </c>
      <c r="E6" s="21" t="n">
        <f aca="false">(C6+D6)/2</f>
        <v>55</v>
      </c>
      <c r="F6" s="7" t="s">
        <v>441</v>
      </c>
      <c r="G6" s="7" t="s">
        <v>443</v>
      </c>
      <c r="H6" s="24" t="s">
        <v>204</v>
      </c>
    </row>
    <row r="7" customFormat="false" ht="15" hidden="false" customHeight="false" outlineLevel="0" collapsed="false">
      <c r="A7" s="7" t="s">
        <v>444</v>
      </c>
      <c r="B7" s="7" t="s">
        <v>440</v>
      </c>
      <c r="C7" s="20" t="n">
        <v>45</v>
      </c>
      <c r="D7" s="20" t="n">
        <v>45</v>
      </c>
      <c r="E7" s="21" t="n">
        <f aca="false">(C7+D7)/2</f>
        <v>45</v>
      </c>
      <c r="F7" s="7" t="s">
        <v>441</v>
      </c>
      <c r="G7" s="7"/>
      <c r="H7" s="24" t="s">
        <v>183</v>
      </c>
    </row>
    <row r="8" customFormat="false" ht="15" hidden="false" customHeight="false" outlineLevel="0" collapsed="false">
      <c r="A8" s="7" t="s">
        <v>445</v>
      </c>
      <c r="B8" s="7" t="s">
        <v>440</v>
      </c>
      <c r="C8" s="20" t="n">
        <v>85</v>
      </c>
      <c r="D8" s="20" t="n">
        <v>85</v>
      </c>
      <c r="E8" s="21" t="n">
        <f aca="false">(C8+D8)/2</f>
        <v>85</v>
      </c>
      <c r="F8" s="7" t="s">
        <v>441</v>
      </c>
      <c r="G8" s="7"/>
      <c r="H8" s="24" t="s">
        <v>183</v>
      </c>
    </row>
    <row r="9" customFormat="false" ht="15" hidden="false" customHeight="false" outlineLevel="0" collapsed="false">
      <c r="A9" s="7" t="s">
        <v>446</v>
      </c>
      <c r="B9" s="7" t="s">
        <v>440</v>
      </c>
      <c r="C9" s="20" t="n">
        <v>125</v>
      </c>
      <c r="D9" s="20" t="n">
        <v>125</v>
      </c>
      <c r="E9" s="21" t="n">
        <f aca="false">(C9+D9)/2</f>
        <v>125</v>
      </c>
      <c r="F9" s="7" t="s">
        <v>441</v>
      </c>
      <c r="G9" s="7"/>
      <c r="H9" s="24" t="s">
        <v>183</v>
      </c>
    </row>
    <row r="10" customFormat="false" ht="15" hidden="false" customHeight="false" outlineLevel="0" collapsed="false">
      <c r="A10" s="7" t="s">
        <v>310</v>
      </c>
      <c r="B10" s="7" t="s">
        <v>312</v>
      </c>
      <c r="C10" s="21" t="n">
        <f aca="false">400/1.2/12</f>
        <v>27.7777777777778</v>
      </c>
      <c r="D10" s="21" t="n">
        <f aca="false">400/1.2/12</f>
        <v>27.7777777777778</v>
      </c>
      <c r="E10" s="21" t="n">
        <f aca="false">(C10+D10)/2</f>
        <v>27.7777777777778</v>
      </c>
      <c r="F10" s="7" t="s">
        <v>441</v>
      </c>
      <c r="G10" s="7" t="s">
        <v>447</v>
      </c>
      <c r="H10" s="24" t="s">
        <v>183</v>
      </c>
    </row>
    <row r="11" customFormat="false" ht="15" hidden="false" customHeight="false" outlineLevel="0" collapsed="false">
      <c r="A11" s="7" t="s">
        <v>398</v>
      </c>
      <c r="B11" s="7" t="s">
        <v>35</v>
      </c>
      <c r="C11" s="20" t="n">
        <v>49</v>
      </c>
      <c r="D11" s="20" t="n">
        <v>199</v>
      </c>
      <c r="E11" s="21" t="n">
        <f aca="false">(C11+D11)/2</f>
        <v>124</v>
      </c>
      <c r="F11" s="7" t="s">
        <v>164</v>
      </c>
      <c r="G11" s="7"/>
      <c r="H11" s="24" t="s">
        <v>400</v>
      </c>
    </row>
    <row r="12" customFormat="false" ht="15" hidden="false" customHeight="false" outlineLevel="0" collapsed="false">
      <c r="A12" s="7" t="s">
        <v>352</v>
      </c>
      <c r="B12" s="7" t="s">
        <v>35</v>
      </c>
      <c r="C12" s="21" t="n">
        <f aca="false">300/12</f>
        <v>25</v>
      </c>
      <c r="D12" s="21" t="n">
        <f aca="false">600/12</f>
        <v>50</v>
      </c>
      <c r="E12" s="21" t="n">
        <f aca="false">(C12+D12)/2</f>
        <v>37.5</v>
      </c>
      <c r="F12" s="7" t="s">
        <v>164</v>
      </c>
      <c r="G12" s="7" t="s">
        <v>448</v>
      </c>
      <c r="H12" s="24" t="s">
        <v>354</v>
      </c>
    </row>
    <row r="13" customFormat="false" ht="15" hidden="false" customHeight="false" outlineLevel="0" collapsed="false">
      <c r="A13" s="7" t="s">
        <v>449</v>
      </c>
      <c r="B13" s="7" t="s">
        <v>35</v>
      </c>
      <c r="C13" s="21" t="n">
        <f aca="false">300/12</f>
        <v>25</v>
      </c>
      <c r="D13" s="21" t="n">
        <f aca="false">1500/12</f>
        <v>125</v>
      </c>
      <c r="E13" s="21" t="n">
        <f aca="false">(C13+D13)/2</f>
        <v>75</v>
      </c>
      <c r="F13" s="7" t="s">
        <v>164</v>
      </c>
      <c r="G13" s="7" t="s">
        <v>450</v>
      </c>
      <c r="H13" s="24" t="s">
        <v>223</v>
      </c>
    </row>
    <row r="14" customFormat="false" ht="15" hidden="false" customHeight="false" outlineLevel="0" collapsed="false">
      <c r="A14" s="7" t="s">
        <v>451</v>
      </c>
      <c r="B14" s="7" t="s">
        <v>452</v>
      </c>
      <c r="C14" s="20" t="n">
        <v>30</v>
      </c>
      <c r="D14" s="20" t="n">
        <v>100</v>
      </c>
      <c r="E14" s="21" t="n">
        <f aca="false">(C14+D14)/2</f>
        <v>65</v>
      </c>
      <c r="F14" s="7" t="s">
        <v>164</v>
      </c>
      <c r="G14" s="7"/>
      <c r="H14" s="24" t="s">
        <v>192</v>
      </c>
    </row>
    <row r="15" customFormat="false" ht="15" hidden="false" customHeight="false" outlineLevel="0" collapsed="false">
      <c r="A15" s="7" t="s">
        <v>453</v>
      </c>
      <c r="B15" s="7" t="s">
        <v>452</v>
      </c>
      <c r="C15" s="20" t="n">
        <v>25</v>
      </c>
      <c r="D15" s="20" t="n">
        <v>50</v>
      </c>
      <c r="E15" s="21" t="n">
        <f aca="false">(C15+D15)/2</f>
        <v>37.5</v>
      </c>
      <c r="F15" s="7" t="s">
        <v>164</v>
      </c>
      <c r="G15" s="7"/>
      <c r="H15" s="24" t="s">
        <v>213</v>
      </c>
    </row>
    <row r="16" customFormat="false" ht="15" hidden="false" customHeight="false" outlineLevel="0" collapsed="false">
      <c r="A16" s="7" t="s">
        <v>289</v>
      </c>
      <c r="B16" s="7" t="s">
        <v>35</v>
      </c>
      <c r="C16" s="20" t="n">
        <v>390</v>
      </c>
      <c r="D16" s="20" t="n">
        <v>390</v>
      </c>
      <c r="E16" s="21" t="n">
        <f aca="false">(C16+D16)/2</f>
        <v>390</v>
      </c>
      <c r="F16" s="7" t="s">
        <v>164</v>
      </c>
      <c r="G16" s="7"/>
      <c r="H16" s="24" t="s">
        <v>290</v>
      </c>
    </row>
    <row r="17" customFormat="false" ht="15" hidden="false" customHeight="false" outlineLevel="0" collapsed="false">
      <c r="A17" s="7" t="s">
        <v>287</v>
      </c>
      <c r="B17" s="7" t="s">
        <v>35</v>
      </c>
      <c r="C17" s="20" t="n">
        <v>699</v>
      </c>
      <c r="D17" s="20" t="n">
        <v>699</v>
      </c>
      <c r="E17" s="21" t="n">
        <f aca="false">(C17+D17)/2</f>
        <v>699</v>
      </c>
      <c r="F17" s="7" t="s">
        <v>164</v>
      </c>
      <c r="G17" s="7" t="s">
        <v>454</v>
      </c>
      <c r="H17" s="24" t="s">
        <v>288</v>
      </c>
    </row>
    <row r="19" customFormat="false" ht="15" hidden="false" customHeight="false" outlineLevel="0" collapsed="false">
      <c r="A19" s="2" t="s">
        <v>455</v>
      </c>
      <c r="E19" s="25" t="n">
        <f aca="false">MEDIAN(E5:E17)</f>
        <v>65</v>
      </c>
    </row>
    <row r="20" customFormat="false" ht="15" hidden="false" customHeight="false" outlineLevel="0" collapsed="false">
      <c r="A20" s="2" t="s">
        <v>456</v>
      </c>
      <c r="E20" s="26" t="n">
        <f aca="false">E19*12</f>
        <v>780</v>
      </c>
    </row>
  </sheetData>
  <hyperlinks>
    <hyperlink ref="H5" r:id="rId1" display="https://mywebcreatorfr.fr/creation-site-internet.html"/>
    <hyperlink ref="H6" r:id="rId2" display="https://maboiteweb.fr/offres-et-tarifs/"/>
    <hyperlink ref="H7" r:id="rId3" display="https://traxo.fr/blog/creation-site-internet-reims"/>
    <hyperlink ref="H8" r:id="rId4" display="https://traxo.fr/blog/creation-site-internet-reims"/>
    <hyperlink ref="H9" r:id="rId5" display="https://traxo.fr/blog/creation-site-internet-reims"/>
    <hyperlink ref="H10" r:id="rId6" display="https://traxo.fr/blog/creation-site-internet-reims"/>
    <hyperlink ref="H11" r:id="rId7" display="https://www.123web.fr/prix-site-ecommerce"/>
    <hyperlink ref="H12" r:id="rId8" display="https://kolonell.com/fr/blog/combien-coute-site-vitrine-5-pages-artisan-btp-toulouse-2026"/>
    <hyperlink ref="H13" r:id="rId9" display="https://www.moceri.fr/prix-creation-site-internet/"/>
    <hyperlink ref="H14" r:id="rId10" display="https://www.agencedromoise.fr/blog/prix-site-vitrine-2026/"/>
    <hyperlink ref="H15" r:id="rId11" display="https://agence-freelink.fr/combien-coute-un-site-internet/"/>
    <hyperlink ref="H16" r:id="rId12" display="https://residual-labs.fr/blog/prix-site-internet-artisan"/>
    <hyperlink ref="H17" r:id="rId13" display="https://webcrew.agency/ressources/prix-site-internet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2026-10-19T16:26:23Z</dcterms:created>
  <dc:creator>openpyxl</dc:creator>
  <dc:description/>
  <dc:language>en-US</dc:language>
  <cp:lastModifiedBy/>
  <dcterms:modified xsi:type="dcterms:W3CDTF">2026-10-19T16:26:23Z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